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drawings/drawing3.xml" ContentType="application/vnd.openxmlformats-officedocument.drawing+xml"/>
  <Override PartName="/xl/drawings/drawing4.xml" ContentType="application/vnd.openxmlformats-officedocument.drawing+xml"/>
  <Override PartName="/xl/embeddings/oleObject8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idsuh\Desktop\2021_컨버터_DC 3kW 집진기_에이스파트너_피에스솔루텍\전장회로설계\"/>
    </mc:Choice>
  </mc:AlternateContent>
  <bookViews>
    <workbookView xWindow="19785" yWindow="0" windowWidth="14400" windowHeight="9330" tabRatio="729"/>
  </bookViews>
  <sheets>
    <sheet name="설계 결과표" sheetId="18" r:id="rId1"/>
    <sheet name="30kV 100mA_EE5555A" sheetId="17" r:id="rId2"/>
    <sheet name="센싱계산표" sheetId="19" r:id="rId3"/>
    <sheet name="Ferrite" sheetId="2" r:id="rId4"/>
    <sheet name="CS" sheetId="3" r:id="rId5"/>
    <sheet name="OR CORE" sheetId="4" r:id="rId6"/>
    <sheet name="입력정류부" sheetId="5" r:id="rId7"/>
    <sheet name="계산공식" sheetId="6" r:id="rId8"/>
    <sheet name="25XF-440V_기존 CS-200 예상" sheetId="7" r:id="rId9"/>
    <sheet name="IGBT 발열량 계산" sheetId="14" r:id="rId10"/>
  </sheets>
  <calcPr calcId="152511"/>
</workbook>
</file>

<file path=xl/calcChain.xml><?xml version="1.0" encoding="utf-8"?>
<calcChain xmlns="http://schemas.openxmlformats.org/spreadsheetml/2006/main">
  <c r="D157" i="17" l="1"/>
  <c r="D158" i="17" s="1"/>
  <c r="D152" i="17"/>
  <c r="D139" i="17"/>
  <c r="D140" i="17" s="1"/>
  <c r="D134" i="17"/>
  <c r="D120" i="17"/>
  <c r="D119" i="17"/>
  <c r="D115" i="17"/>
  <c r="D105" i="17"/>
  <c r="D103" i="17"/>
  <c r="D116" i="17" s="1"/>
  <c r="D121" i="17" s="1"/>
  <c r="D67" i="17"/>
  <c r="D68" i="17" s="1"/>
  <c r="D62" i="17"/>
  <c r="D47" i="17"/>
  <c r="D39" i="17"/>
  <c r="D35" i="17"/>
  <c r="D33" i="17"/>
  <c r="D42" i="17" s="1"/>
  <c r="D30" i="17"/>
  <c r="D52" i="17" s="1"/>
  <c r="D54" i="17" s="1"/>
  <c r="D56" i="17" s="1"/>
  <c r="D25" i="17"/>
  <c r="D27" i="17" s="1"/>
  <c r="D31" i="17" s="1"/>
  <c r="D11" i="17"/>
  <c r="D6" i="17"/>
  <c r="D8" i="17" s="1"/>
  <c r="D13" i="17" s="1"/>
  <c r="D161" i="17" l="1"/>
  <c r="D162" i="17" s="1"/>
  <c r="D159" i="17"/>
  <c r="D71" i="17"/>
  <c r="D91" i="17" s="1"/>
  <c r="D70" i="17"/>
  <c r="D153" i="17"/>
  <c r="D160" i="17" s="1"/>
  <c r="D163" i="17" s="1"/>
  <c r="D32" i="17"/>
  <c r="D49" i="17"/>
  <c r="D44" i="17"/>
  <c r="D46" i="17" s="1"/>
  <c r="D48" i="17" s="1"/>
  <c r="D51" i="17"/>
  <c r="D53" i="17" s="1"/>
  <c r="D55" i="17" s="1"/>
  <c r="D57" i="17" s="1"/>
  <c r="D14" i="17"/>
  <c r="D16" i="17" s="1"/>
  <c r="D18" i="17"/>
  <c r="D63" i="17"/>
  <c r="D64" i="17" s="1"/>
  <c r="D77" i="17"/>
  <c r="D78" i="17" s="1"/>
  <c r="D81" i="17" s="1"/>
  <c r="D24" i="17"/>
  <c r="D164" i="17"/>
  <c r="D126" i="17"/>
  <c r="D84" i="17" l="1"/>
  <c r="D72" i="17"/>
  <c r="D74" i="17" s="1"/>
  <c r="D86" i="17"/>
  <c r="D82" i="17"/>
  <c r="D124" i="17"/>
  <c r="D127" i="17" s="1"/>
  <c r="D95" i="17"/>
  <c r="D136" i="17"/>
  <c r="D137" i="17" s="1"/>
  <c r="D141" i="17" s="1"/>
  <c r="E19" i="19"/>
  <c r="C22" i="19" s="1"/>
  <c r="H15" i="19"/>
  <c r="G15" i="19"/>
  <c r="C15" i="19"/>
  <c r="E12" i="19"/>
  <c r="E14" i="19" s="1"/>
  <c r="H8" i="19"/>
  <c r="G8" i="19"/>
  <c r="C8" i="19" s="1"/>
  <c r="E6" i="19"/>
  <c r="E7" i="19" s="1"/>
  <c r="E5" i="19"/>
  <c r="G5" i="19" s="1"/>
  <c r="H5" i="19" s="1"/>
  <c r="I5" i="19" s="1"/>
  <c r="D142" i="17" l="1"/>
  <c r="D147" i="17"/>
  <c r="D109" i="17"/>
  <c r="D110" i="17" s="1"/>
  <c r="D111" i="17"/>
  <c r="D112" i="17" s="1"/>
  <c r="D113" i="17" s="1"/>
  <c r="D92" i="17"/>
  <c r="G12" i="19"/>
  <c r="H12" i="19" s="1"/>
  <c r="I12" i="19" s="1"/>
  <c r="I19" i="19"/>
  <c r="E20" i="19"/>
  <c r="E21" i="19" s="1"/>
  <c r="E13" i="19"/>
  <c r="C157" i="17"/>
  <c r="C158" i="17" s="1"/>
  <c r="C152" i="17"/>
  <c r="C139" i="17"/>
  <c r="C140" i="17" s="1"/>
  <c r="C134" i="17"/>
  <c r="C120" i="17"/>
  <c r="C119" i="17"/>
  <c r="C115" i="17"/>
  <c r="C105" i="17"/>
  <c r="C103" i="17"/>
  <c r="C116" i="17" s="1"/>
  <c r="C67" i="17"/>
  <c r="C68" i="17" s="1"/>
  <c r="C62" i="17"/>
  <c r="C47" i="17"/>
  <c r="C39" i="17"/>
  <c r="C35" i="17"/>
  <c r="C25" i="17"/>
  <c r="C30" i="17" s="1"/>
  <c r="C52" i="17" s="1"/>
  <c r="C54" i="17" s="1"/>
  <c r="C56" i="17" s="1"/>
  <c r="C11" i="17"/>
  <c r="C6" i="17"/>
  <c r="D96" i="17" l="1"/>
  <c r="D97" i="17" s="1"/>
  <c r="D98" i="17" s="1"/>
  <c r="D106" i="17" s="1"/>
  <c r="D93" i="17"/>
  <c r="D94" i="17" s="1"/>
  <c r="D146" i="17"/>
  <c r="D144" i="17"/>
  <c r="C153" i="17"/>
  <c r="C121" i="17"/>
  <c r="C70" i="17"/>
  <c r="C71" i="17"/>
  <c r="C164" i="17"/>
  <c r="C161" i="17"/>
  <c r="C162" i="17" s="1"/>
  <c r="C159" i="17"/>
  <c r="C27" i="17"/>
  <c r="C31" i="17" s="1"/>
  <c r="C8" i="17"/>
  <c r="C33" i="17"/>
  <c r="C160" i="17" l="1"/>
  <c r="C163" i="17" s="1"/>
  <c r="C49" i="17"/>
  <c r="C32" i="17"/>
  <c r="C126" i="17"/>
  <c r="C77" i="17"/>
  <c r="C78" i="17" s="1"/>
  <c r="C81" i="17" s="1"/>
  <c r="C63" i="17"/>
  <c r="C64" i="17" s="1"/>
  <c r="C42" i="17"/>
  <c r="C91" i="17"/>
  <c r="C72" i="17"/>
  <c r="C74" i="17" s="1"/>
  <c r="C84" i="17"/>
  <c r="C24" i="17"/>
  <c r="C13" i="17"/>
  <c r="C82" i="17" l="1"/>
  <c r="C86" i="17"/>
  <c r="C51" i="17"/>
  <c r="C53" i="17" s="1"/>
  <c r="C55" i="17" s="1"/>
  <c r="C57" i="17" s="1"/>
  <c r="C44" i="17"/>
  <c r="C46" i="17" s="1"/>
  <c r="C48" i="17" s="1"/>
  <c r="C136" i="17"/>
  <c r="C137" i="17" s="1"/>
  <c r="C141" i="17" s="1"/>
  <c r="C124" i="17"/>
  <c r="C127" i="17" s="1"/>
  <c r="C95" i="17"/>
  <c r="C18" i="17"/>
  <c r="C14" i="17"/>
  <c r="C16" i="17" s="1"/>
  <c r="C92" i="17" l="1"/>
  <c r="C111" i="17"/>
  <c r="C112" i="17" s="1"/>
  <c r="C113" i="17" s="1"/>
  <c r="C109" i="17"/>
  <c r="C110" i="17" s="1"/>
  <c r="C147" i="17"/>
  <c r="C142" i="17"/>
  <c r="C146" i="17" l="1"/>
  <c r="C144" i="17"/>
  <c r="C96" i="17"/>
  <c r="C97" i="17" s="1"/>
  <c r="C98" i="17" s="1"/>
  <c r="C106" i="17" s="1"/>
  <c r="C93" i="17"/>
  <c r="C94" i="17" s="1"/>
  <c r="O67" i="6" l="1"/>
  <c r="O60" i="6" l="1"/>
  <c r="O53" i="6"/>
  <c r="C4" i="5" l="1"/>
  <c r="E17" i="14" l="1"/>
  <c r="E22" i="14" s="1"/>
  <c r="D17" i="14"/>
  <c r="D22" i="14" s="1"/>
  <c r="E14" i="14"/>
  <c r="D14" i="14"/>
  <c r="E13" i="14"/>
  <c r="E16" i="14" s="1"/>
  <c r="D13" i="14"/>
  <c r="D16" i="14" s="1"/>
  <c r="E7" i="14"/>
  <c r="D7" i="14"/>
  <c r="D24" i="14" l="1"/>
  <c r="D27" i="14"/>
  <c r="D29" i="14" s="1"/>
  <c r="D46" i="14" s="1"/>
  <c r="E24" i="14"/>
  <c r="E27" i="14" s="1"/>
  <c r="E29" i="14" s="1"/>
  <c r="E46" i="14" s="1"/>
  <c r="E23" i="14"/>
  <c r="E26" i="14" s="1"/>
  <c r="E37" i="14" s="1"/>
  <c r="D25" i="14"/>
  <c r="E25" i="14"/>
  <c r="D23" i="14"/>
  <c r="D26" i="14" s="1"/>
  <c r="D31" i="14" l="1"/>
  <c r="E35" i="14"/>
  <c r="E41" i="14" s="1"/>
  <c r="E43" i="14"/>
  <c r="E31" i="14"/>
  <c r="E34" i="14"/>
  <c r="E40" i="14" s="1"/>
  <c r="E42" i="14"/>
  <c r="E36" i="14"/>
  <c r="D37" i="14"/>
  <c r="D43" i="14"/>
  <c r="D35" i="14"/>
  <c r="D41" i="14" s="1"/>
  <c r="D42" i="14"/>
  <c r="D34" i="14"/>
  <c r="D40" i="14" s="1"/>
  <c r="D36" i="14"/>
  <c r="C46" i="7" l="1"/>
  <c r="J37" i="7"/>
  <c r="H32" i="7"/>
  <c r="H30" i="7"/>
  <c r="N28" i="7"/>
  <c r="H27" i="7"/>
  <c r="H25" i="7"/>
  <c r="H35" i="7" s="1"/>
  <c r="H24" i="7"/>
  <c r="H33" i="7" s="1"/>
  <c r="N22" i="7"/>
  <c r="C21" i="7"/>
  <c r="R18" i="7"/>
  <c r="R16" i="7"/>
  <c r="H16" i="7"/>
  <c r="H26" i="7" s="1"/>
  <c r="H34" i="7" s="1"/>
  <c r="H14" i="7"/>
  <c r="H28" i="7" s="1"/>
  <c r="C12" i="7"/>
  <c r="C13" i="7" s="1"/>
  <c r="C14" i="7" s="1"/>
  <c r="R10" i="7"/>
  <c r="R11" i="7" s="1"/>
  <c r="H10" i="7"/>
  <c r="H17" i="7" s="1"/>
  <c r="C10" i="7"/>
  <c r="C8" i="7"/>
  <c r="C7" i="7"/>
  <c r="N13" i="7" s="1"/>
  <c r="K71" i="6"/>
  <c r="K73" i="6" s="1"/>
  <c r="K65" i="6"/>
  <c r="K74" i="6" s="1"/>
  <c r="C58" i="6"/>
  <c r="G52" i="6"/>
  <c r="G55" i="6" s="1"/>
  <c r="G57" i="6" s="1"/>
  <c r="C52" i="6"/>
  <c r="K49" i="6"/>
  <c r="K52" i="6" s="1"/>
  <c r="K55" i="6" s="1"/>
  <c r="K57" i="6" s="1"/>
  <c r="G47" i="6"/>
  <c r="O46" i="6"/>
  <c r="K45" i="6"/>
  <c r="K46" i="6" s="1"/>
  <c r="C45" i="6"/>
  <c r="C46" i="6" s="1"/>
  <c r="C44" i="6"/>
  <c r="O40" i="6"/>
  <c r="C36" i="6"/>
  <c r="C37" i="6" s="1"/>
  <c r="O35" i="6"/>
  <c r="C35" i="6"/>
  <c r="O34" i="6"/>
  <c r="C34" i="6"/>
  <c r="G33" i="6"/>
  <c r="O29" i="6"/>
  <c r="G29" i="6"/>
  <c r="K27" i="6"/>
  <c r="K26" i="6"/>
  <c r="K30" i="6" s="1"/>
  <c r="K33" i="6" s="1"/>
  <c r="K35" i="6" s="1"/>
  <c r="K37" i="6" s="1"/>
  <c r="C26" i="6"/>
  <c r="O25" i="6"/>
  <c r="G25" i="6"/>
  <c r="G34" i="6" s="1"/>
  <c r="C25" i="6"/>
  <c r="C24" i="6"/>
  <c r="C23" i="6"/>
  <c r="O21" i="6"/>
  <c r="G18" i="6"/>
  <c r="O14" i="6"/>
  <c r="O15" i="6" s="1"/>
  <c r="O16" i="6" s="1"/>
  <c r="G12" i="6"/>
  <c r="K11" i="6"/>
  <c r="K14" i="6" s="1"/>
  <c r="K16" i="6" s="1"/>
  <c r="K8" i="6"/>
  <c r="O7" i="6"/>
  <c r="K7" i="6"/>
  <c r="G7" i="6"/>
  <c r="C6" i="6"/>
  <c r="C8" i="6" s="1"/>
  <c r="C13" i="6" s="1"/>
  <c r="J50" i="5"/>
  <c r="D50" i="5"/>
  <c r="E50" i="5" s="1"/>
  <c r="C50" i="5"/>
  <c r="O50" i="5" s="1"/>
  <c r="O49" i="5"/>
  <c r="J49" i="5"/>
  <c r="D49" i="5"/>
  <c r="E49" i="5" s="1"/>
  <c r="C49" i="5"/>
  <c r="G49" i="5" s="1"/>
  <c r="O48" i="5"/>
  <c r="J48" i="5"/>
  <c r="D48" i="5"/>
  <c r="E48" i="5" s="1"/>
  <c r="C48" i="5"/>
  <c r="G48" i="5" s="1"/>
  <c r="J47" i="5"/>
  <c r="G47" i="5"/>
  <c r="F47" i="5"/>
  <c r="D47" i="5"/>
  <c r="E47" i="5" s="1"/>
  <c r="C47" i="5"/>
  <c r="O47" i="5" s="1"/>
  <c r="J46" i="5"/>
  <c r="F46" i="5"/>
  <c r="E46" i="5"/>
  <c r="D46" i="5"/>
  <c r="C46" i="5"/>
  <c r="O46" i="5" s="1"/>
  <c r="O45" i="5"/>
  <c r="J45" i="5"/>
  <c r="F45" i="5"/>
  <c r="D45" i="5"/>
  <c r="E45" i="5" s="1"/>
  <c r="C45" i="5"/>
  <c r="G45" i="5" s="1"/>
  <c r="J44" i="5"/>
  <c r="D44" i="5"/>
  <c r="E44" i="5" s="1"/>
  <c r="C44" i="5"/>
  <c r="O44" i="5" s="1"/>
  <c r="J43" i="5"/>
  <c r="D43" i="5"/>
  <c r="E43" i="5" s="1"/>
  <c r="C43" i="5"/>
  <c r="O43" i="5" s="1"/>
  <c r="O42" i="5"/>
  <c r="J42" i="5"/>
  <c r="D42" i="5"/>
  <c r="E42" i="5" s="1"/>
  <c r="C42" i="5"/>
  <c r="G42" i="5" s="1"/>
  <c r="O41" i="5"/>
  <c r="J41" i="5"/>
  <c r="F41" i="5"/>
  <c r="E41" i="5"/>
  <c r="D41" i="5"/>
  <c r="C41" i="5"/>
  <c r="G41" i="5" s="1"/>
  <c r="O40" i="5"/>
  <c r="J40" i="5"/>
  <c r="G40" i="5"/>
  <c r="D40" i="5"/>
  <c r="E40" i="5" s="1"/>
  <c r="C40" i="5"/>
  <c r="F40" i="5" s="1"/>
  <c r="J39" i="5"/>
  <c r="G39" i="5"/>
  <c r="F39" i="5"/>
  <c r="D39" i="5"/>
  <c r="E39" i="5" s="1"/>
  <c r="C39" i="5"/>
  <c r="O39" i="5" s="1"/>
  <c r="J38" i="5"/>
  <c r="F38" i="5"/>
  <c r="E38" i="5"/>
  <c r="D38" i="5"/>
  <c r="C38" i="5"/>
  <c r="O38" i="5" s="1"/>
  <c r="O37" i="5"/>
  <c r="J37" i="5"/>
  <c r="G37" i="5"/>
  <c r="F37" i="5"/>
  <c r="D37" i="5"/>
  <c r="E37" i="5" s="1"/>
  <c r="C37" i="5"/>
  <c r="J36" i="5"/>
  <c r="D36" i="5"/>
  <c r="E36" i="5" s="1"/>
  <c r="C36" i="5"/>
  <c r="O36" i="5" s="1"/>
  <c r="J35" i="5"/>
  <c r="D35" i="5"/>
  <c r="E35" i="5" s="1"/>
  <c r="C35" i="5"/>
  <c r="O35" i="5" s="1"/>
  <c r="O34" i="5"/>
  <c r="J34" i="5"/>
  <c r="F34" i="5"/>
  <c r="D34" i="5"/>
  <c r="E34" i="5" s="1"/>
  <c r="C34" i="5"/>
  <c r="G34" i="5" s="1"/>
  <c r="O33" i="5"/>
  <c r="J33" i="5"/>
  <c r="D33" i="5"/>
  <c r="E33" i="5" s="1"/>
  <c r="C33" i="5"/>
  <c r="G33" i="5" s="1"/>
  <c r="J32" i="5"/>
  <c r="G32" i="5"/>
  <c r="F32" i="5"/>
  <c r="D32" i="5"/>
  <c r="E32" i="5" s="1"/>
  <c r="C32" i="5"/>
  <c r="O32" i="5" s="1"/>
  <c r="J31" i="5"/>
  <c r="F31" i="5"/>
  <c r="E31" i="5"/>
  <c r="D31" i="5"/>
  <c r="C31" i="5"/>
  <c r="O31" i="5" s="1"/>
  <c r="O30" i="5"/>
  <c r="J30" i="5"/>
  <c r="F30" i="5"/>
  <c r="D30" i="5"/>
  <c r="E30" i="5" s="1"/>
  <c r="C30" i="5"/>
  <c r="G30" i="5" s="1"/>
  <c r="J29" i="5"/>
  <c r="D29" i="5"/>
  <c r="E29" i="5" s="1"/>
  <c r="C29" i="5"/>
  <c r="O29" i="5" s="1"/>
  <c r="J28" i="5"/>
  <c r="D28" i="5"/>
  <c r="E28" i="5" s="1"/>
  <c r="C28" i="5"/>
  <c r="O28" i="5" s="1"/>
  <c r="O27" i="5"/>
  <c r="J27" i="5"/>
  <c r="F27" i="5"/>
  <c r="D27" i="5"/>
  <c r="E27" i="5" s="1"/>
  <c r="C27" i="5"/>
  <c r="G27" i="5" s="1"/>
  <c r="O26" i="5"/>
  <c r="J26" i="5"/>
  <c r="F26" i="5"/>
  <c r="E26" i="5"/>
  <c r="D26" i="5"/>
  <c r="C26" i="5"/>
  <c r="G26" i="5" s="1"/>
  <c r="O25" i="5"/>
  <c r="J25" i="5"/>
  <c r="G25" i="5"/>
  <c r="D25" i="5"/>
  <c r="E25" i="5" s="1"/>
  <c r="C25" i="5"/>
  <c r="F25" i="5" s="1"/>
  <c r="J24" i="5"/>
  <c r="G24" i="5"/>
  <c r="F24" i="5"/>
  <c r="D24" i="5"/>
  <c r="E24" i="5" s="1"/>
  <c r="C24" i="5"/>
  <c r="O24" i="5" s="1"/>
  <c r="J23" i="5"/>
  <c r="F23" i="5"/>
  <c r="E23" i="5"/>
  <c r="D23" i="5"/>
  <c r="C23" i="5"/>
  <c r="O23" i="5" s="1"/>
  <c r="O22" i="5"/>
  <c r="J22" i="5"/>
  <c r="G22" i="5"/>
  <c r="F22" i="5"/>
  <c r="D22" i="5"/>
  <c r="E22" i="5" s="1"/>
  <c r="C22" i="5"/>
  <c r="J21" i="5"/>
  <c r="D21" i="5"/>
  <c r="E21" i="5" s="1"/>
  <c r="C21" i="5"/>
  <c r="O21" i="5" s="1"/>
  <c r="J20" i="5"/>
  <c r="D20" i="5"/>
  <c r="E20" i="5" s="1"/>
  <c r="C20" i="5"/>
  <c r="O20" i="5" s="1"/>
  <c r="O19" i="5"/>
  <c r="J19" i="5"/>
  <c r="D19" i="5"/>
  <c r="E19" i="5" s="1"/>
  <c r="C19" i="5"/>
  <c r="G19" i="5" s="1"/>
  <c r="O18" i="5"/>
  <c r="J18" i="5"/>
  <c r="F18" i="5"/>
  <c r="E18" i="5"/>
  <c r="D18" i="5"/>
  <c r="C18" i="5"/>
  <c r="G18" i="5" s="1"/>
  <c r="O17" i="5"/>
  <c r="J17" i="5"/>
  <c r="G17" i="5"/>
  <c r="D17" i="5"/>
  <c r="E17" i="5" s="1"/>
  <c r="C17" i="5"/>
  <c r="F17" i="5" s="1"/>
  <c r="J16" i="5"/>
  <c r="F16" i="5"/>
  <c r="D16" i="5"/>
  <c r="E16" i="5" s="1"/>
  <c r="C16" i="5"/>
  <c r="O16" i="5" s="1"/>
  <c r="J15" i="5"/>
  <c r="G15" i="5"/>
  <c r="F15" i="5"/>
  <c r="E15" i="5"/>
  <c r="D15" i="5"/>
  <c r="C15" i="5"/>
  <c r="O15" i="5" s="1"/>
  <c r="O14" i="5"/>
  <c r="J14" i="5"/>
  <c r="G14" i="5"/>
  <c r="F14" i="5"/>
  <c r="D14" i="5"/>
  <c r="E14" i="5" s="1"/>
  <c r="C14" i="5"/>
  <c r="J13" i="5"/>
  <c r="E13" i="5"/>
  <c r="D13" i="5"/>
  <c r="C13" i="5"/>
  <c r="O13" i="5" s="1"/>
  <c r="J12" i="5"/>
  <c r="D12" i="5"/>
  <c r="E12" i="5" s="1"/>
  <c r="C12" i="5"/>
  <c r="O12" i="5" s="1"/>
  <c r="O11" i="5"/>
  <c r="J11" i="5"/>
  <c r="D11" i="5"/>
  <c r="E11" i="5" s="1"/>
  <c r="C11" i="5"/>
  <c r="G11" i="5" s="1"/>
  <c r="O10" i="5"/>
  <c r="J10" i="5"/>
  <c r="F10" i="5"/>
  <c r="E10" i="5"/>
  <c r="D10" i="5"/>
  <c r="C10" i="5"/>
  <c r="G10" i="5" s="1"/>
  <c r="O9" i="5"/>
  <c r="J9" i="5"/>
  <c r="G9" i="5"/>
  <c r="D9" i="5"/>
  <c r="E9" i="5" s="1"/>
  <c r="C9" i="5"/>
  <c r="F9" i="5" s="1"/>
  <c r="J8" i="5"/>
  <c r="F8" i="5"/>
  <c r="D8" i="5"/>
  <c r="E8" i="5" s="1"/>
  <c r="C8" i="5"/>
  <c r="O8" i="5" s="1"/>
  <c r="J7" i="5"/>
  <c r="G7" i="5"/>
  <c r="F7" i="5"/>
  <c r="E7" i="5"/>
  <c r="D7" i="5"/>
  <c r="C7" i="5"/>
  <c r="O7" i="5" s="1"/>
  <c r="O6" i="5"/>
  <c r="J6" i="5"/>
  <c r="G6" i="5"/>
  <c r="F6" i="5"/>
  <c r="D6" i="5"/>
  <c r="E6" i="5" s="1"/>
  <c r="C6" i="5"/>
  <c r="J5" i="5"/>
  <c r="E5" i="5"/>
  <c r="D5" i="5"/>
  <c r="C5" i="5"/>
  <c r="O5" i="5" s="1"/>
  <c r="J4" i="5"/>
  <c r="D4" i="5"/>
  <c r="E4" i="5" s="1"/>
  <c r="O4" i="5"/>
  <c r="N14" i="3"/>
  <c r="L14" i="3"/>
  <c r="M14" i="3" s="1"/>
  <c r="N13" i="3"/>
  <c r="L13" i="3"/>
  <c r="M13" i="3" s="1"/>
  <c r="N12" i="3"/>
  <c r="M12" i="3"/>
  <c r="L12" i="3"/>
  <c r="N11" i="3"/>
  <c r="L11" i="3"/>
  <c r="M11" i="3" s="1"/>
  <c r="N10" i="3"/>
  <c r="L10" i="3"/>
  <c r="M10" i="3" s="1"/>
  <c r="N9" i="3"/>
  <c r="M9" i="3"/>
  <c r="L9" i="3"/>
  <c r="N8" i="3"/>
  <c r="M8" i="3"/>
  <c r="L8" i="3"/>
  <c r="N7" i="3"/>
  <c r="L7" i="3"/>
  <c r="M7" i="3" s="1"/>
  <c r="N6" i="3"/>
  <c r="L6" i="3"/>
  <c r="M6" i="3" s="1"/>
  <c r="N5" i="3"/>
  <c r="L5" i="3"/>
  <c r="M5" i="3" s="1"/>
  <c r="N4" i="3"/>
  <c r="M4" i="3"/>
  <c r="L4" i="3"/>
  <c r="O56" i="2"/>
  <c r="M56" i="2"/>
  <c r="L56" i="2"/>
  <c r="J56" i="2"/>
  <c r="I56" i="2"/>
  <c r="H56" i="2"/>
  <c r="N56" i="2" s="1"/>
  <c r="M55" i="2"/>
  <c r="L55" i="2"/>
  <c r="K55" i="2"/>
  <c r="J55" i="2"/>
  <c r="I55" i="2"/>
  <c r="O55" i="2" s="1"/>
  <c r="E55" i="2"/>
  <c r="M54" i="2"/>
  <c r="K54" i="2"/>
  <c r="J54" i="2"/>
  <c r="I54" i="2"/>
  <c r="O54" i="2" s="1"/>
  <c r="E54" i="2"/>
  <c r="N53" i="2"/>
  <c r="M53" i="2"/>
  <c r="L53" i="2"/>
  <c r="K53" i="2"/>
  <c r="J53" i="2"/>
  <c r="O53" i="2" s="1"/>
  <c r="I53" i="2"/>
  <c r="H53" i="2"/>
  <c r="Q52" i="2"/>
  <c r="P52" i="2"/>
  <c r="O52" i="2"/>
  <c r="M52" i="2"/>
  <c r="R52" i="2" s="1"/>
  <c r="L52" i="2"/>
  <c r="J52" i="2"/>
  <c r="I52" i="2"/>
  <c r="H52" i="2"/>
  <c r="K52" i="2" s="1"/>
  <c r="E52" i="2"/>
  <c r="N51" i="2"/>
  <c r="G51" i="2"/>
  <c r="K51" i="2" s="1"/>
  <c r="M50" i="2"/>
  <c r="K50" i="2"/>
  <c r="J50" i="2"/>
  <c r="O50" i="2" s="1"/>
  <c r="R49" i="2"/>
  <c r="Q49" i="2"/>
  <c r="K49" i="2"/>
  <c r="J49" i="2"/>
  <c r="J48" i="2"/>
  <c r="O48" i="2" s="1"/>
  <c r="M47" i="2"/>
  <c r="K47" i="2"/>
  <c r="J47" i="2"/>
  <c r="O47" i="2" s="1"/>
  <c r="R46" i="2"/>
  <c r="Q46" i="2"/>
  <c r="P46" i="2"/>
  <c r="O46" i="2"/>
  <c r="M46" i="2"/>
  <c r="K46" i="2"/>
  <c r="J46" i="2"/>
  <c r="R45" i="2"/>
  <c r="Q45" i="2"/>
  <c r="P45" i="2"/>
  <c r="O45" i="2"/>
  <c r="K45" i="2"/>
  <c r="J45" i="2"/>
  <c r="I45" i="2"/>
  <c r="Q44" i="2"/>
  <c r="P44" i="2"/>
  <c r="Q43" i="2"/>
  <c r="P43" i="2"/>
  <c r="O43" i="2"/>
  <c r="L42" i="2"/>
  <c r="K42" i="2"/>
  <c r="J42" i="2"/>
  <c r="I42" i="2"/>
  <c r="O42" i="2" s="1"/>
  <c r="E42" i="2"/>
  <c r="O41" i="2"/>
  <c r="Q41" i="2" s="1"/>
  <c r="L41" i="2"/>
  <c r="K41" i="2"/>
  <c r="J41" i="2"/>
  <c r="I41" i="2"/>
  <c r="E41" i="2"/>
  <c r="O40" i="2"/>
  <c r="P40" i="2" s="1"/>
  <c r="M40" i="2"/>
  <c r="R40" i="2" s="1"/>
  <c r="K40" i="2"/>
  <c r="J40" i="2"/>
  <c r="I40" i="2"/>
  <c r="E40" i="2"/>
  <c r="Q39" i="2"/>
  <c r="P39" i="2"/>
  <c r="O39" i="2"/>
  <c r="M39" i="2"/>
  <c r="R39" i="2" s="1"/>
  <c r="K39" i="2"/>
  <c r="J39" i="2"/>
  <c r="O38" i="2"/>
  <c r="Q38" i="2" s="1"/>
  <c r="M38" i="2"/>
  <c r="K38" i="2"/>
  <c r="J38" i="2"/>
  <c r="O37" i="2"/>
  <c r="Q37" i="2" s="1"/>
  <c r="M37" i="2"/>
  <c r="K37" i="2"/>
  <c r="I37" i="2"/>
  <c r="H37" i="2"/>
  <c r="E37" i="2"/>
  <c r="O36" i="2"/>
  <c r="Q36" i="2" s="1"/>
  <c r="M36" i="2"/>
  <c r="K36" i="2"/>
  <c r="J36" i="2"/>
  <c r="O35" i="2"/>
  <c r="Q35" i="2" s="1"/>
  <c r="M35" i="2"/>
  <c r="K35" i="2"/>
  <c r="J35" i="2"/>
  <c r="H35" i="2"/>
  <c r="O34" i="2"/>
  <c r="Q34" i="2" s="1"/>
  <c r="M34" i="2"/>
  <c r="K34" i="2"/>
  <c r="J34" i="2"/>
  <c r="M33" i="2"/>
  <c r="K33" i="2"/>
  <c r="J33" i="2"/>
  <c r="O33" i="2" s="1"/>
  <c r="H33" i="2"/>
  <c r="M32" i="2"/>
  <c r="K32" i="2"/>
  <c r="J32" i="2"/>
  <c r="I32" i="2"/>
  <c r="O32" i="2" s="1"/>
  <c r="E32" i="2"/>
  <c r="O31" i="2"/>
  <c r="Q31" i="2" s="1"/>
  <c r="M31" i="2"/>
  <c r="K31" i="2"/>
  <c r="J31" i="2"/>
  <c r="I31" i="2"/>
  <c r="E31" i="2"/>
  <c r="O30" i="2"/>
  <c r="P30" i="2" s="1"/>
  <c r="M30" i="2"/>
  <c r="R30" i="2" s="1"/>
  <c r="K30" i="2"/>
  <c r="J30" i="2"/>
  <c r="O29" i="2"/>
  <c r="Q29" i="2" s="1"/>
  <c r="M29" i="2"/>
  <c r="K29" i="2"/>
  <c r="J29" i="2"/>
  <c r="M28" i="2"/>
  <c r="K28" i="2"/>
  <c r="J28" i="2"/>
  <c r="O28" i="2" s="1"/>
  <c r="H28" i="2"/>
  <c r="E28" i="2"/>
  <c r="K27" i="2"/>
  <c r="J27" i="2"/>
  <c r="O27" i="2" s="1"/>
  <c r="I27" i="2"/>
  <c r="E27" i="2"/>
  <c r="O26" i="2"/>
  <c r="Q26" i="2" s="1"/>
  <c r="M26" i="2"/>
  <c r="K26" i="2"/>
  <c r="J26" i="2"/>
  <c r="E26" i="2"/>
  <c r="O25" i="2"/>
  <c r="Q25" i="2" s="1"/>
  <c r="M25" i="2"/>
  <c r="L25" i="2"/>
  <c r="K25" i="2"/>
  <c r="J25" i="2"/>
  <c r="I25" i="2"/>
  <c r="H25" i="2"/>
  <c r="P24" i="2"/>
  <c r="R24" i="2" s="1"/>
  <c r="O24" i="2"/>
  <c r="Q24" i="2" s="1"/>
  <c r="K24" i="2"/>
  <c r="J24" i="2"/>
  <c r="O23" i="2"/>
  <c r="Q23" i="2" s="1"/>
  <c r="M23" i="2"/>
  <c r="K23" i="2"/>
  <c r="J23" i="2"/>
  <c r="I23" i="2"/>
  <c r="K22" i="2"/>
  <c r="J22" i="2"/>
  <c r="O22" i="2" s="1"/>
  <c r="I22" i="2"/>
  <c r="E22" i="2"/>
  <c r="K21" i="2"/>
  <c r="J21" i="2"/>
  <c r="O21" i="2" s="1"/>
  <c r="M20" i="2"/>
  <c r="K20" i="2"/>
  <c r="J20" i="2"/>
  <c r="I20" i="2"/>
  <c r="O20" i="2" s="1"/>
  <c r="E20" i="2"/>
  <c r="M19" i="2"/>
  <c r="K19" i="2"/>
  <c r="J19" i="2"/>
  <c r="I19" i="2"/>
  <c r="O19" i="2" s="1"/>
  <c r="E19" i="2"/>
  <c r="Q18" i="2"/>
  <c r="P18" i="2"/>
  <c r="R18" i="2" s="1"/>
  <c r="K18" i="2"/>
  <c r="J18" i="2"/>
  <c r="M17" i="2"/>
  <c r="K17" i="2"/>
  <c r="J17" i="2"/>
  <c r="O17" i="2" s="1"/>
  <c r="R16" i="2"/>
  <c r="Q16" i="2"/>
  <c r="P16" i="2"/>
  <c r="O16" i="2"/>
  <c r="K16" i="2"/>
  <c r="J16" i="2"/>
  <c r="P15" i="2"/>
  <c r="O15" i="2"/>
  <c r="Q15" i="2" s="1"/>
  <c r="M15" i="2"/>
  <c r="R15" i="2" s="1"/>
  <c r="K15" i="2"/>
  <c r="J15" i="2"/>
  <c r="O14" i="2"/>
  <c r="P14" i="2" s="1"/>
  <c r="R14" i="2" s="1"/>
  <c r="K14" i="2"/>
  <c r="J14" i="2"/>
  <c r="I14" i="2"/>
  <c r="E14" i="2"/>
  <c r="O13" i="2"/>
  <c r="Q13" i="2" s="1"/>
  <c r="M13" i="2"/>
  <c r="K13" i="2"/>
  <c r="J13" i="2"/>
  <c r="I13" i="2"/>
  <c r="E13" i="2"/>
  <c r="Q12" i="2"/>
  <c r="P12" i="2"/>
  <c r="R12" i="2" s="1"/>
  <c r="K12" i="2"/>
  <c r="J12" i="2"/>
  <c r="I12" i="2"/>
  <c r="E12" i="2"/>
  <c r="O11" i="2"/>
  <c r="Q11" i="2" s="1"/>
  <c r="K11" i="2"/>
  <c r="J11" i="2"/>
  <c r="K10" i="2"/>
  <c r="J10" i="2"/>
  <c r="I10" i="2"/>
  <c r="O10" i="2" s="1"/>
  <c r="E10" i="2"/>
  <c r="K9" i="2"/>
  <c r="J9" i="2"/>
  <c r="I9" i="2"/>
  <c r="O9" i="2" s="1"/>
  <c r="E9" i="2"/>
  <c r="K8" i="2"/>
  <c r="J8" i="2"/>
  <c r="I8" i="2"/>
  <c r="O8" i="2" s="1"/>
  <c r="E8" i="2"/>
  <c r="K7" i="2"/>
  <c r="J7" i="2"/>
  <c r="I7" i="2"/>
  <c r="O7" i="2" s="1"/>
  <c r="E7" i="2"/>
  <c r="K6" i="2"/>
  <c r="J6" i="2"/>
  <c r="I6" i="2"/>
  <c r="O6" i="2" s="1"/>
  <c r="K5" i="2"/>
  <c r="J5" i="2"/>
  <c r="I5" i="2"/>
  <c r="O5" i="2" s="1"/>
  <c r="E5" i="2"/>
  <c r="K4" i="2"/>
  <c r="J4" i="2"/>
  <c r="O4" i="2" s="1"/>
  <c r="R3" i="2"/>
  <c r="Q3" i="2"/>
  <c r="P3" i="2"/>
  <c r="O3" i="2"/>
  <c r="K3" i="2"/>
  <c r="J3" i="2"/>
  <c r="C20" i="7" l="1"/>
  <c r="C16" i="7"/>
  <c r="C29" i="7" s="1"/>
  <c r="C35" i="7" s="1"/>
  <c r="N10" i="7"/>
  <c r="J17" i="7"/>
  <c r="J39" i="7" s="1"/>
  <c r="H36" i="7"/>
  <c r="J19" i="7"/>
  <c r="H11" i="7"/>
  <c r="R19" i="7"/>
  <c r="J25" i="7" s="1"/>
  <c r="C31" i="7"/>
  <c r="C33" i="7" s="1"/>
  <c r="C17" i="7"/>
  <c r="K19" i="6"/>
  <c r="K18" i="6"/>
  <c r="G37" i="6"/>
  <c r="G38" i="6" s="1"/>
  <c r="G39" i="6" s="1"/>
  <c r="G40" i="6" s="1"/>
  <c r="G41" i="6" s="1"/>
  <c r="K58" i="6"/>
  <c r="K66" i="6"/>
  <c r="K38" i="6"/>
  <c r="G8" i="5"/>
  <c r="G16" i="5"/>
  <c r="G23" i="5"/>
  <c r="G31" i="5"/>
  <c r="G38" i="5"/>
  <c r="G46" i="5"/>
  <c r="F5" i="5"/>
  <c r="F13" i="5"/>
  <c r="F21" i="5"/>
  <c r="F29" i="5"/>
  <c r="F36" i="5"/>
  <c r="F44" i="5"/>
  <c r="F4" i="5"/>
  <c r="G5" i="5"/>
  <c r="F12" i="5"/>
  <c r="G13" i="5"/>
  <c r="F20" i="5"/>
  <c r="G21" i="5"/>
  <c r="F28" i="5"/>
  <c r="G29" i="5"/>
  <c r="F35" i="5"/>
  <c r="G36" i="5"/>
  <c r="F43" i="5"/>
  <c r="G44" i="5"/>
  <c r="F50" i="5"/>
  <c r="G4" i="5"/>
  <c r="F11" i="5"/>
  <c r="G12" i="5"/>
  <c r="F19" i="5"/>
  <c r="G20" i="5"/>
  <c r="G28" i="5"/>
  <c r="G35" i="5"/>
  <c r="F42" i="5"/>
  <c r="G43" i="5"/>
  <c r="F49" i="5"/>
  <c r="G50" i="5"/>
  <c r="P28" i="2"/>
  <c r="Q28" i="2"/>
  <c r="Q20" i="2"/>
  <c r="P20" i="2"/>
  <c r="R20" i="2" s="1"/>
  <c r="Q22" i="2"/>
  <c r="P22" i="2"/>
  <c r="R22" i="2" s="1"/>
  <c r="R25" i="2"/>
  <c r="Q47" i="2"/>
  <c r="P47" i="2"/>
  <c r="R47" i="2" s="1"/>
  <c r="Q50" i="2"/>
  <c r="P50" i="2"/>
  <c r="R50" i="2" s="1"/>
  <c r="P56" i="2"/>
  <c r="Q56" i="2"/>
  <c r="P9" i="2"/>
  <c r="R9" i="2" s="1"/>
  <c r="Q9" i="2"/>
  <c r="P6" i="2"/>
  <c r="R6" i="2" s="1"/>
  <c r="Q6" i="2"/>
  <c r="P8" i="2"/>
  <c r="R8" i="2" s="1"/>
  <c r="Q8" i="2"/>
  <c r="P10" i="2"/>
  <c r="R10" i="2" s="1"/>
  <c r="Q10" i="2"/>
  <c r="Q27" i="2"/>
  <c r="P27" i="2"/>
  <c r="R27" i="2" s="1"/>
  <c r="P42" i="2"/>
  <c r="R42" i="2" s="1"/>
  <c r="Q42" i="2"/>
  <c r="P7" i="2"/>
  <c r="R7" i="2" s="1"/>
  <c r="Q7" i="2"/>
  <c r="Q5" i="2"/>
  <c r="P5" i="2"/>
  <c r="R5" i="2" s="1"/>
  <c r="Q54" i="2"/>
  <c r="P54" i="2"/>
  <c r="R54" i="2" s="1"/>
  <c r="R28" i="2"/>
  <c r="R29" i="2"/>
  <c r="R32" i="2"/>
  <c r="R36" i="2"/>
  <c r="P32" i="2"/>
  <c r="Q32" i="2"/>
  <c r="Q17" i="2"/>
  <c r="P17" i="2"/>
  <c r="R17" i="2" s="1"/>
  <c r="P19" i="2"/>
  <c r="R19" i="2" s="1"/>
  <c r="Q19" i="2"/>
  <c r="Q48" i="2"/>
  <c r="P48" i="2"/>
  <c r="R48" i="2" s="1"/>
  <c r="R53" i="2"/>
  <c r="Q55" i="2"/>
  <c r="P55" i="2"/>
  <c r="R55" i="2" s="1"/>
  <c r="R33" i="2"/>
  <c r="Q4" i="2"/>
  <c r="P4" i="2"/>
  <c r="R4" i="2" s="1"/>
  <c r="Q21" i="2"/>
  <c r="P21" i="2"/>
  <c r="R21" i="2" s="1"/>
  <c r="P33" i="2"/>
  <c r="Q33" i="2"/>
  <c r="R38" i="2"/>
  <c r="P53" i="2"/>
  <c r="R56" i="2"/>
  <c r="Q53" i="2"/>
  <c r="K56" i="2"/>
  <c r="P11" i="2"/>
  <c r="R11" i="2" s="1"/>
  <c r="P38" i="2"/>
  <c r="P13" i="2"/>
  <c r="R13" i="2" s="1"/>
  <c r="P36" i="2"/>
  <c r="J51" i="2"/>
  <c r="O51" i="2" s="1"/>
  <c r="Q14" i="2"/>
  <c r="P23" i="2"/>
  <c r="R23" i="2" s="1"/>
  <c r="P25" i="2"/>
  <c r="P26" i="2"/>
  <c r="R26" i="2" s="1"/>
  <c r="P29" i="2"/>
  <c r="Q30" i="2"/>
  <c r="P31" i="2"/>
  <c r="R31" i="2" s="1"/>
  <c r="P34" i="2"/>
  <c r="R34" i="2" s="1"/>
  <c r="P35" i="2"/>
  <c r="R35" i="2" s="1"/>
  <c r="P37" i="2"/>
  <c r="R37" i="2" s="1"/>
  <c r="Q40" i="2"/>
  <c r="P41" i="2"/>
  <c r="R41" i="2" s="1"/>
  <c r="J28" i="7" l="1"/>
  <c r="J31" i="7" s="1"/>
  <c r="C50" i="7"/>
  <c r="C51" i="7" s="1"/>
  <c r="C49" i="7"/>
  <c r="C36" i="7"/>
  <c r="C38" i="7" s="1"/>
  <c r="C19" i="7"/>
  <c r="C22" i="7" s="1"/>
  <c r="C23" i="7" s="1"/>
  <c r="Q51" i="2"/>
  <c r="P51" i="2"/>
  <c r="R51" i="2" s="1"/>
  <c r="C40" i="7" l="1"/>
  <c r="C39" i="7"/>
  <c r="C41" i="7"/>
  <c r="C42" i="7" s="1"/>
</calcChain>
</file>

<file path=xl/sharedStrings.xml><?xml version="1.0" encoding="utf-8"?>
<sst xmlns="http://schemas.openxmlformats.org/spreadsheetml/2006/main" count="1592" uniqueCount="1142">
  <si>
    <t>Fsw</t>
    <phoneticPr fontId="2" type="noConversion"/>
  </si>
  <si>
    <t>스위칭 주파수 최소값</t>
    <phoneticPr fontId="2" type="noConversion"/>
  </si>
  <si>
    <t>Core</t>
    <phoneticPr fontId="2" type="noConversion"/>
  </si>
  <si>
    <t>Ae</t>
    <phoneticPr fontId="2" type="noConversion"/>
  </si>
  <si>
    <t>코아 단면적</t>
    <phoneticPr fontId="2" type="noConversion"/>
  </si>
  <si>
    <t>코아수</t>
    <phoneticPr fontId="2" type="noConversion"/>
  </si>
  <si>
    <t>Ae Total</t>
    <phoneticPr fontId="2" type="noConversion"/>
  </si>
  <si>
    <t>dB</t>
    <phoneticPr fontId="2" type="noConversion"/>
  </si>
  <si>
    <t>Ns</t>
    <phoneticPr fontId="2" type="noConversion"/>
  </si>
  <si>
    <t>Ns_Act</t>
    <phoneticPr fontId="1" type="noConversion"/>
  </si>
  <si>
    <t>n_HB</t>
    <phoneticPr fontId="2" type="noConversion"/>
  </si>
  <si>
    <t>margin</t>
    <phoneticPr fontId="2" type="noConversion"/>
  </si>
  <si>
    <t>n_HB_10%</t>
    <phoneticPr fontId="2" type="noConversion"/>
  </si>
  <si>
    <t>일이차 전압이 같아지는 권선비의 10% 여유를 갖는 권선비</t>
    <phoneticPr fontId="2" type="noConversion"/>
  </si>
  <si>
    <t>Np</t>
    <phoneticPr fontId="2" type="noConversion"/>
  </si>
  <si>
    <t>Np_ACT</t>
    <phoneticPr fontId="2" type="noConversion"/>
  </si>
  <si>
    <t>출력전류 평균값</t>
    <phoneticPr fontId="2" type="noConversion"/>
  </si>
  <si>
    <t>Is_RMS</t>
    <phoneticPr fontId="2" type="noConversion"/>
  </si>
  <si>
    <t>Q</t>
    <phoneticPr fontId="2" type="noConversion"/>
  </si>
  <si>
    <t>Lr</t>
    <phoneticPr fontId="2" type="noConversion"/>
  </si>
  <si>
    <t>공진 L의 스위칭주파수에서의 임피던스</t>
    <phoneticPr fontId="2" type="noConversion"/>
  </si>
  <si>
    <t>Core #</t>
    <phoneticPr fontId="2" type="noConversion"/>
  </si>
  <si>
    <t>Nmin</t>
    <phoneticPr fontId="2" type="noConversion"/>
  </si>
  <si>
    <t>Bsat</t>
    <phoneticPr fontId="2" type="noConversion"/>
  </si>
  <si>
    <t>Gap paper</t>
    <phoneticPr fontId="1" type="noConversion"/>
  </si>
  <si>
    <t>Core Width Min</t>
    <phoneticPr fontId="1" type="noConversion"/>
  </si>
  <si>
    <t>Fringing Factor</t>
    <phoneticPr fontId="1" type="noConversion"/>
  </si>
  <si>
    <t>Fringing Effect</t>
    <phoneticPr fontId="1" type="noConversion"/>
  </si>
  <si>
    <t>DC 입력전압 최소값</t>
    <phoneticPr fontId="2" type="noConversion"/>
  </si>
  <si>
    <t>적합한 턴수를 결정</t>
    <phoneticPr fontId="1" type="noConversion"/>
  </si>
  <si>
    <t>사인파로 가정했을 때의 공진전압 실효값</t>
    <phoneticPr fontId="2" type="noConversion"/>
  </si>
  <si>
    <t>사인파로 가정했을 때의 공진전류 실효값</t>
    <phoneticPr fontId="2" type="noConversion"/>
  </si>
  <si>
    <t>사인파로 가정했을 때의 공진전압 평균값</t>
    <phoneticPr fontId="2" type="noConversion"/>
  </si>
  <si>
    <t>사인파로 가정했을 때의 1차 전류 실효값</t>
    <phoneticPr fontId="1" type="noConversion"/>
  </si>
  <si>
    <t>사인파로 가정했을 때의 2차 전류 실효값</t>
    <phoneticPr fontId="2" type="noConversion"/>
  </si>
  <si>
    <t>N Lr</t>
    <phoneticPr fontId="1" type="noConversion"/>
  </si>
  <si>
    <t>갭이 적절한지를 검증 20% 이하가 적당함. 25%이상이 되면 코아를 더 큰 것으로 해야함.</t>
    <phoneticPr fontId="1" type="noConversion"/>
  </si>
  <si>
    <t>N = Von * Ton * 10^4 / ( dB * Ae )</t>
    <phoneticPr fontId="1" type="noConversion"/>
  </si>
  <si>
    <t>DC Capacitance</t>
    <phoneticPr fontId="1" type="noConversion"/>
  </si>
  <si>
    <t>uH</t>
    <phoneticPr fontId="1" type="noConversion"/>
  </si>
  <si>
    <t>kHz</t>
    <phoneticPr fontId="1" type="noConversion"/>
  </si>
  <si>
    <t>옴</t>
    <phoneticPr fontId="1" type="noConversion"/>
  </si>
  <si>
    <t>Aws(mm^2)</t>
    <phoneticPr fontId="2" type="noConversion"/>
  </si>
  <si>
    <t>Awp(mm^2)</t>
    <phoneticPr fontId="2" type="noConversion"/>
  </si>
  <si>
    <t>A</t>
    <phoneticPr fontId="1" type="noConversion"/>
  </si>
  <si>
    <t>V</t>
    <phoneticPr fontId="1" type="noConversion"/>
  </si>
  <si>
    <t>Np 계산값</t>
    <phoneticPr fontId="1" type="noConversion"/>
  </si>
  <si>
    <t>Po (VA)</t>
    <phoneticPr fontId="2" type="noConversion"/>
  </si>
  <si>
    <t>병렬 연결 수</t>
    <phoneticPr fontId="1" type="noConversion"/>
  </si>
  <si>
    <t>EE5555A</t>
    <phoneticPr fontId="2" type="noConversion"/>
  </si>
  <si>
    <t>A/mm^2</t>
  </si>
  <si>
    <t>Type</t>
    <phoneticPr fontId="10" type="noConversion"/>
  </si>
  <si>
    <t>Model</t>
    <phoneticPr fontId="10" type="noConversion"/>
  </si>
  <si>
    <t>A ㎜</t>
    <phoneticPr fontId="10" type="noConversion"/>
  </si>
  <si>
    <t>B ㎜</t>
    <phoneticPr fontId="10" type="noConversion"/>
  </si>
  <si>
    <t>C ㎜</t>
    <phoneticPr fontId="10" type="noConversion"/>
  </si>
  <si>
    <t>D ㎜</t>
    <phoneticPr fontId="10" type="noConversion"/>
  </si>
  <si>
    <t>E ㎜</t>
    <phoneticPr fontId="10" type="noConversion"/>
  </si>
  <si>
    <t>F(Wh) ㎜</t>
    <phoneticPr fontId="10" type="noConversion"/>
  </si>
  <si>
    <t>G(Ww) ㎜</t>
    <phoneticPr fontId="10" type="noConversion"/>
  </si>
  <si>
    <r>
      <t xml:space="preserve">Tmin </t>
    </r>
    <r>
      <rPr>
        <sz val="11"/>
        <color indexed="8"/>
        <rFont val="맑은 고딕"/>
        <family val="3"/>
        <charset val="129"/>
      </rPr>
      <t>㎜</t>
    </r>
    <phoneticPr fontId="10" type="noConversion"/>
  </si>
  <si>
    <t>Le ㎜</t>
    <phoneticPr fontId="10" type="noConversion"/>
  </si>
  <si>
    <t>Ve ㎣</t>
    <phoneticPr fontId="10" type="noConversion"/>
  </si>
  <si>
    <r>
      <t xml:space="preserve">Ae </t>
    </r>
    <r>
      <rPr>
        <sz val="11"/>
        <color indexed="8"/>
        <rFont val="맑은 고딕"/>
        <family val="3"/>
        <charset val="129"/>
      </rPr>
      <t>㎠</t>
    </r>
    <phoneticPr fontId="10" type="noConversion"/>
  </si>
  <si>
    <t>Aw ㎠</t>
    <phoneticPr fontId="10" type="noConversion"/>
  </si>
  <si>
    <r>
      <t xml:space="preserve">AP </t>
    </r>
    <r>
      <rPr>
        <sz val="11"/>
        <color indexed="8"/>
        <rFont val="맑은 고딕"/>
        <family val="3"/>
        <charset val="129"/>
      </rPr>
      <t>㎝</t>
    </r>
    <r>
      <rPr>
        <vertAlign val="superscript"/>
        <sz val="11"/>
        <color indexed="8"/>
        <rFont val="맑은 고딕"/>
        <family val="3"/>
        <charset val="129"/>
      </rPr>
      <t>4</t>
    </r>
    <phoneticPr fontId="10" type="noConversion"/>
  </si>
  <si>
    <t>Ae/Aw</t>
    <phoneticPr fontId="10" type="noConversion"/>
  </si>
  <si>
    <t>Ve/AP</t>
    <phoneticPr fontId="10" type="noConversion"/>
  </si>
  <si>
    <t>EE</t>
    <phoneticPr fontId="10" type="noConversion"/>
  </si>
  <si>
    <t>EE1614</t>
    <phoneticPr fontId="10" type="noConversion"/>
  </si>
  <si>
    <t>EE</t>
    <phoneticPr fontId="10" type="noConversion"/>
  </si>
  <si>
    <t>EE1614C</t>
    <phoneticPr fontId="10" type="noConversion"/>
  </si>
  <si>
    <t>EPC</t>
    <phoneticPr fontId="10" type="noConversion"/>
  </si>
  <si>
    <t>EPC1920</t>
    <phoneticPr fontId="10" type="noConversion"/>
  </si>
  <si>
    <t>PQ</t>
    <phoneticPr fontId="10" type="noConversion"/>
  </si>
  <si>
    <t>PQ2020</t>
    <phoneticPr fontId="10" type="noConversion"/>
  </si>
  <si>
    <t>EFD</t>
    <phoneticPr fontId="10" type="noConversion"/>
  </si>
  <si>
    <t>EFD2525</t>
    <phoneticPr fontId="10" type="noConversion"/>
  </si>
  <si>
    <t>PEE</t>
    <phoneticPr fontId="1" type="noConversion"/>
  </si>
  <si>
    <t>PEE2211</t>
    <phoneticPr fontId="1" type="noConversion"/>
  </si>
  <si>
    <t>EE2525</t>
    <phoneticPr fontId="10" type="noConversion"/>
  </si>
  <si>
    <t>EE2822</t>
    <phoneticPr fontId="10" type="noConversion"/>
  </si>
  <si>
    <t>PQ2625</t>
    <phoneticPr fontId="10" type="noConversion"/>
  </si>
  <si>
    <t>EER</t>
    <phoneticPr fontId="10" type="noConversion"/>
  </si>
  <si>
    <t>EER3124N</t>
    <phoneticPr fontId="10" type="noConversion"/>
  </si>
  <si>
    <t>PQ3230</t>
    <phoneticPr fontId="10" type="noConversion"/>
  </si>
  <si>
    <t>EE4035</t>
    <phoneticPr fontId="10" type="noConversion"/>
  </si>
  <si>
    <t>EFD5050S</t>
    <phoneticPr fontId="10" type="noConversion"/>
  </si>
  <si>
    <t>EER3942S</t>
    <phoneticPr fontId="10" type="noConversion"/>
  </si>
  <si>
    <t>DS</t>
    <phoneticPr fontId="10" type="noConversion"/>
  </si>
  <si>
    <t>DS4028</t>
    <phoneticPr fontId="10" type="noConversion"/>
  </si>
  <si>
    <t>EER4232S</t>
    <phoneticPr fontId="10" type="noConversion"/>
  </si>
  <si>
    <t>ER</t>
    <phoneticPr fontId="10" type="noConversion"/>
  </si>
  <si>
    <t>ER511038</t>
    <phoneticPr fontId="10" type="noConversion"/>
  </si>
  <si>
    <t>PQ3535</t>
    <phoneticPr fontId="10" type="noConversion"/>
  </si>
  <si>
    <t>EER4242S</t>
    <phoneticPr fontId="10" type="noConversion"/>
  </si>
  <si>
    <t>EE4240</t>
    <phoneticPr fontId="10" type="noConversion"/>
  </si>
  <si>
    <t>PQ4040</t>
    <phoneticPr fontId="10" type="noConversion"/>
  </si>
  <si>
    <t>EER4954S</t>
    <phoneticPr fontId="10" type="noConversion"/>
  </si>
  <si>
    <t>UU</t>
    <phoneticPr fontId="10" type="noConversion"/>
  </si>
  <si>
    <t>UU1620</t>
    <phoneticPr fontId="10" type="noConversion"/>
  </si>
  <si>
    <t>ER641351</t>
    <phoneticPr fontId="10" type="noConversion"/>
  </si>
  <si>
    <t>EER5345</t>
    <phoneticPr fontId="10" type="noConversion"/>
  </si>
  <si>
    <t>PEE</t>
    <phoneticPr fontId="10" type="noConversion"/>
  </si>
  <si>
    <t>PEE6420</t>
    <phoneticPr fontId="10" type="noConversion"/>
  </si>
  <si>
    <t>EER5557S</t>
    <phoneticPr fontId="10" type="noConversion"/>
  </si>
  <si>
    <t>PQ5050</t>
    <phoneticPr fontId="10" type="noConversion"/>
  </si>
  <si>
    <t>EE5555A</t>
    <phoneticPr fontId="10" type="noConversion"/>
  </si>
  <si>
    <t>EE</t>
    <phoneticPr fontId="10" type="noConversion"/>
  </si>
  <si>
    <t>EE5555S</t>
    <phoneticPr fontId="10" type="noConversion"/>
  </si>
  <si>
    <t>PEE6425</t>
    <phoneticPr fontId="10" type="noConversion"/>
  </si>
  <si>
    <t>EER6062S</t>
    <phoneticPr fontId="10" type="noConversion"/>
  </si>
  <si>
    <t>PEE6430</t>
    <phoneticPr fontId="10" type="noConversion"/>
  </si>
  <si>
    <t>EE6565</t>
    <phoneticPr fontId="10" type="noConversion"/>
  </si>
  <si>
    <t>UR</t>
    <phoneticPr fontId="10" type="noConversion"/>
  </si>
  <si>
    <t>UR644020</t>
    <phoneticPr fontId="10" type="noConversion"/>
  </si>
  <si>
    <t>EE7066</t>
    <phoneticPr fontId="10" type="noConversion"/>
  </si>
  <si>
    <t>EE</t>
    <phoneticPr fontId="10" type="noConversion"/>
  </si>
  <si>
    <t>EE7091</t>
    <phoneticPr fontId="10" type="noConversion"/>
  </si>
  <si>
    <t>EE</t>
    <phoneticPr fontId="10" type="noConversion"/>
  </si>
  <si>
    <t>EE8075</t>
    <phoneticPr fontId="10" type="noConversion"/>
  </si>
  <si>
    <t>UTV</t>
    <phoneticPr fontId="10" type="noConversion"/>
  </si>
  <si>
    <t>UTV5576</t>
    <phoneticPr fontId="10" type="noConversion"/>
  </si>
  <si>
    <t>UTV</t>
    <phoneticPr fontId="10" type="noConversion"/>
  </si>
  <si>
    <t>UTV5576</t>
    <phoneticPr fontId="10" type="noConversion"/>
  </si>
  <si>
    <t>UTV</t>
    <phoneticPr fontId="10" type="noConversion"/>
  </si>
  <si>
    <t>UTV6483</t>
    <phoneticPr fontId="10" type="noConversion"/>
  </si>
  <si>
    <t>UTV7290</t>
    <phoneticPr fontId="10" type="noConversion"/>
  </si>
  <si>
    <t>EER8280</t>
    <phoneticPr fontId="10" type="noConversion"/>
  </si>
  <si>
    <t>EE</t>
    <phoneticPr fontId="10" type="noConversion"/>
  </si>
  <si>
    <t>EE7066C</t>
    <phoneticPr fontId="10" type="noConversion"/>
  </si>
  <si>
    <t>EE7091C</t>
    <phoneticPr fontId="10" type="noConversion"/>
  </si>
  <si>
    <t>EC</t>
    <phoneticPr fontId="10" type="noConversion"/>
  </si>
  <si>
    <t>EC90</t>
    <phoneticPr fontId="10" type="noConversion"/>
  </si>
  <si>
    <t>EI</t>
    <phoneticPr fontId="1" type="noConversion"/>
  </si>
  <si>
    <t>EI70</t>
    <phoneticPr fontId="1" type="noConversion"/>
  </si>
  <si>
    <t>EI</t>
    <phoneticPr fontId="10" type="noConversion"/>
  </si>
  <si>
    <t>EI118</t>
    <phoneticPr fontId="10" type="noConversion"/>
  </si>
  <si>
    <t>BLOCK</t>
    <phoneticPr fontId="10" type="noConversion"/>
  </si>
  <si>
    <t>B644221</t>
    <phoneticPr fontId="10" type="noConversion"/>
  </si>
  <si>
    <t>UU</t>
    <phoneticPr fontId="10" type="noConversion"/>
  </si>
  <si>
    <t>UU100</t>
    <phoneticPr fontId="10" type="noConversion"/>
  </si>
  <si>
    <t>UU</t>
    <phoneticPr fontId="10" type="noConversion"/>
  </si>
  <si>
    <t>UU120</t>
    <phoneticPr fontId="10" type="noConversion"/>
  </si>
  <si>
    <t>EE</t>
    <phoneticPr fontId="10" type="noConversion"/>
  </si>
  <si>
    <t>EE118</t>
    <phoneticPr fontId="10" type="noConversion"/>
  </si>
  <si>
    <t>EE140</t>
    <phoneticPr fontId="10" type="noConversion"/>
  </si>
  <si>
    <t>UU120C</t>
    <phoneticPr fontId="10" type="noConversion"/>
  </si>
  <si>
    <t>Type</t>
    <phoneticPr fontId="10" type="noConversion"/>
  </si>
  <si>
    <t>Model</t>
    <phoneticPr fontId="10" type="noConversion"/>
  </si>
  <si>
    <t>A ㎜</t>
    <phoneticPr fontId="10" type="noConversion"/>
  </si>
  <si>
    <t>B ㎜</t>
    <phoneticPr fontId="10" type="noConversion"/>
  </si>
  <si>
    <t>C ㎜</t>
    <phoneticPr fontId="10" type="noConversion"/>
  </si>
  <si>
    <t>F(Wh) ㎜</t>
    <phoneticPr fontId="10" type="noConversion"/>
  </si>
  <si>
    <t>G(Ww) ㎜</t>
    <phoneticPr fontId="10" type="noConversion"/>
  </si>
  <si>
    <r>
      <t xml:space="preserve">Tmin </t>
    </r>
    <r>
      <rPr>
        <sz val="11"/>
        <color indexed="8"/>
        <rFont val="맑은 고딕"/>
        <family val="3"/>
        <charset val="129"/>
      </rPr>
      <t>㎜</t>
    </r>
    <phoneticPr fontId="10" type="noConversion"/>
  </si>
  <si>
    <t>Le ㎜</t>
    <phoneticPr fontId="10" type="noConversion"/>
  </si>
  <si>
    <t>Ve ㎣</t>
    <phoneticPr fontId="10" type="noConversion"/>
  </si>
  <si>
    <t>Aw ㎠</t>
    <phoneticPr fontId="10" type="noConversion"/>
  </si>
  <si>
    <r>
      <t xml:space="preserve">AP </t>
    </r>
    <r>
      <rPr>
        <sz val="11"/>
        <color indexed="8"/>
        <rFont val="맑은 고딕"/>
        <family val="3"/>
        <charset val="129"/>
      </rPr>
      <t>㎝</t>
    </r>
    <r>
      <rPr>
        <vertAlign val="superscript"/>
        <sz val="11"/>
        <color indexed="8"/>
        <rFont val="맑은 고딕"/>
        <family val="3"/>
        <charset val="129"/>
      </rPr>
      <t>4</t>
    </r>
    <phoneticPr fontId="10" type="noConversion"/>
  </si>
  <si>
    <t>Ae/Aw</t>
    <phoneticPr fontId="10" type="noConversion"/>
  </si>
  <si>
    <t>Ve/AP</t>
    <phoneticPr fontId="10" type="noConversion"/>
  </si>
  <si>
    <t>a</t>
    <phoneticPr fontId="10" type="noConversion"/>
  </si>
  <si>
    <t>b</t>
    <phoneticPr fontId="10" type="noConversion"/>
  </si>
  <si>
    <t>c</t>
    <phoneticPr fontId="10" type="noConversion"/>
  </si>
  <si>
    <t>d</t>
    <phoneticPr fontId="10" type="noConversion"/>
  </si>
  <si>
    <t>e</t>
    <phoneticPr fontId="10" type="noConversion"/>
  </si>
  <si>
    <t>f</t>
    <phoneticPr fontId="10" type="noConversion"/>
  </si>
  <si>
    <t>R</t>
    <phoneticPr fontId="10" type="noConversion"/>
  </si>
  <si>
    <t>MPL</t>
    <phoneticPr fontId="10" type="noConversion"/>
  </si>
  <si>
    <t>Ae</t>
    <phoneticPr fontId="10" type="noConversion"/>
  </si>
  <si>
    <t>Wa</t>
    <phoneticPr fontId="10" type="noConversion"/>
  </si>
  <si>
    <t>AP</t>
    <phoneticPr fontId="10" type="noConversion"/>
  </si>
  <si>
    <t>SF</t>
    <phoneticPr fontId="10" type="noConversion"/>
  </si>
  <si>
    <t>CS-125</t>
    <phoneticPr fontId="10" type="noConversion"/>
  </si>
  <si>
    <t>CS-160</t>
    <phoneticPr fontId="10" type="noConversion"/>
  </si>
  <si>
    <t>CS-200</t>
    <phoneticPr fontId="10" type="noConversion"/>
  </si>
  <si>
    <t>CS-250</t>
    <phoneticPr fontId="10" type="noConversion"/>
  </si>
  <si>
    <t>CS-320</t>
    <phoneticPr fontId="10" type="noConversion"/>
  </si>
  <si>
    <t>CS-500</t>
    <phoneticPr fontId="10" type="noConversion"/>
  </si>
  <si>
    <t>CS-3kVA</t>
    <phoneticPr fontId="10" type="noConversion"/>
  </si>
  <si>
    <t>CS-5kVA</t>
    <phoneticPr fontId="10" type="noConversion"/>
  </si>
  <si>
    <t>CS-7.5kVA</t>
    <phoneticPr fontId="10" type="noConversion"/>
  </si>
  <si>
    <t>CS-10kVA</t>
    <phoneticPr fontId="10" type="noConversion"/>
  </si>
  <si>
    <t>CS-30kVA</t>
    <phoneticPr fontId="10" type="noConversion"/>
  </si>
  <si>
    <t>TDK</t>
    <phoneticPr fontId="1" type="noConversion"/>
  </si>
  <si>
    <t>코어전기</t>
    <phoneticPr fontId="1" type="noConversion"/>
  </si>
  <si>
    <t>이수</t>
    <phoneticPr fontId="1" type="noConversion"/>
  </si>
  <si>
    <t>PAYTON</t>
    <phoneticPr fontId="1" type="noConversion"/>
  </si>
  <si>
    <t>정격전력</t>
    <phoneticPr fontId="10" type="noConversion"/>
  </si>
  <si>
    <t>입력전압</t>
    <phoneticPr fontId="10" type="noConversion"/>
  </si>
  <si>
    <t>입력선전류</t>
    <phoneticPr fontId="10" type="noConversion"/>
  </si>
  <si>
    <t>DC전압</t>
    <phoneticPr fontId="10" type="noConversion"/>
  </si>
  <si>
    <t>DC전류</t>
    <phoneticPr fontId="10" type="noConversion"/>
  </si>
  <si>
    <t>필요SQ</t>
    <phoneticPr fontId="10" type="noConversion"/>
  </si>
  <si>
    <t>SQ당 전류</t>
    <phoneticPr fontId="10" type="noConversion"/>
  </si>
  <si>
    <t>인입선SQ</t>
    <phoneticPr fontId="10" type="noConversion"/>
  </si>
  <si>
    <t>가닥수</t>
    <phoneticPr fontId="10" type="noConversion"/>
  </si>
  <si>
    <t>접지선필요SQ</t>
    <phoneticPr fontId="10" type="noConversion"/>
  </si>
  <si>
    <t>접지선SQ</t>
    <phoneticPr fontId="10" type="noConversion"/>
  </si>
  <si>
    <t>차단기 용량</t>
    <phoneticPr fontId="10" type="noConversion"/>
  </si>
  <si>
    <t xml:space="preserve">Main차단기 </t>
    <phoneticPr fontId="10" type="noConversion"/>
  </si>
  <si>
    <t>3상입력선SQ</t>
    <phoneticPr fontId="10" type="noConversion"/>
  </si>
  <si>
    <t>퓨즈용량</t>
    <phoneticPr fontId="10" type="noConversion"/>
  </si>
  <si>
    <t>퓨즈</t>
    <phoneticPr fontId="10" type="noConversion"/>
  </si>
  <si>
    <t>GMC-75</t>
    <phoneticPr fontId="10" type="noConversion"/>
  </si>
  <si>
    <t>25 (연선)</t>
    <phoneticPr fontId="10" type="noConversion"/>
  </si>
  <si>
    <t>100A</t>
    <phoneticPr fontId="10" type="noConversion"/>
  </si>
  <si>
    <t>GMC-50</t>
    <phoneticPr fontId="10" type="noConversion"/>
  </si>
  <si>
    <t>16 (연선)</t>
    <phoneticPr fontId="10" type="noConversion"/>
  </si>
  <si>
    <t>50A</t>
    <phoneticPr fontId="10" type="noConversion"/>
  </si>
  <si>
    <t>GMC-50</t>
    <phoneticPr fontId="10" type="noConversion"/>
  </si>
  <si>
    <t>16 (연선)</t>
    <phoneticPr fontId="10" type="noConversion"/>
  </si>
  <si>
    <t>50A</t>
    <phoneticPr fontId="10" type="noConversion"/>
  </si>
  <si>
    <t>GMC-100</t>
    <phoneticPr fontId="10" type="noConversion"/>
  </si>
  <si>
    <t>100A</t>
    <phoneticPr fontId="10" type="noConversion"/>
  </si>
  <si>
    <t>GMC-50</t>
    <phoneticPr fontId="10" type="noConversion"/>
  </si>
  <si>
    <t>50A</t>
    <phoneticPr fontId="10" type="noConversion"/>
  </si>
  <si>
    <t>GMC-50</t>
    <phoneticPr fontId="10" type="noConversion"/>
  </si>
  <si>
    <t>16 (연선)</t>
    <phoneticPr fontId="10" type="noConversion"/>
  </si>
  <si>
    <t>GMC-125</t>
    <phoneticPr fontId="10" type="noConversion"/>
  </si>
  <si>
    <t>35 (연선)</t>
    <phoneticPr fontId="10" type="noConversion"/>
  </si>
  <si>
    <t>120A</t>
    <phoneticPr fontId="10" type="noConversion"/>
  </si>
  <si>
    <t>GMC-75</t>
    <phoneticPr fontId="10" type="noConversion"/>
  </si>
  <si>
    <t>25 (연선)</t>
    <phoneticPr fontId="10" type="noConversion"/>
  </si>
  <si>
    <t>75A</t>
    <phoneticPr fontId="10" type="noConversion"/>
  </si>
  <si>
    <t>60A</t>
    <phoneticPr fontId="10" type="noConversion"/>
  </si>
  <si>
    <t>ABS203c 200A</t>
    <phoneticPr fontId="10" type="noConversion"/>
  </si>
  <si>
    <t>50 (연선)</t>
    <phoneticPr fontId="10" type="noConversion"/>
  </si>
  <si>
    <t>200A</t>
    <phoneticPr fontId="10" type="noConversion"/>
  </si>
  <si>
    <t>ABS103c 125A</t>
    <phoneticPr fontId="10" type="noConversion"/>
  </si>
  <si>
    <t>35 (연선)</t>
    <phoneticPr fontId="10" type="noConversion"/>
  </si>
  <si>
    <t>120A</t>
    <phoneticPr fontId="10" type="noConversion"/>
  </si>
  <si>
    <t>35 (연선)</t>
    <phoneticPr fontId="10" type="noConversion"/>
  </si>
  <si>
    <t>ABS403c 300A</t>
    <phoneticPr fontId="10" type="noConversion"/>
  </si>
  <si>
    <t>95 (연선)*2</t>
    <phoneticPr fontId="10" type="noConversion"/>
  </si>
  <si>
    <t>300A</t>
    <phoneticPr fontId="10" type="noConversion"/>
  </si>
  <si>
    <t>ABS203c 200A</t>
    <phoneticPr fontId="10" type="noConversion"/>
  </si>
  <si>
    <t>50 (연선)</t>
    <phoneticPr fontId="10" type="noConversion"/>
  </si>
  <si>
    <t>200A</t>
    <phoneticPr fontId="10" type="noConversion"/>
  </si>
  <si>
    <t>ABS203c 200A</t>
    <phoneticPr fontId="10" type="noConversion"/>
  </si>
  <si>
    <t>200A</t>
    <phoneticPr fontId="10" type="noConversion"/>
  </si>
  <si>
    <t>95 (연선)</t>
    <phoneticPr fontId="10" type="noConversion"/>
  </si>
  <si>
    <t>250A</t>
    <phoneticPr fontId="10" type="noConversion"/>
  </si>
  <si>
    <t>95 (연선)</t>
    <phoneticPr fontId="10" type="noConversion"/>
  </si>
  <si>
    <t>250A</t>
    <phoneticPr fontId="10" type="noConversion"/>
  </si>
  <si>
    <t>ABS403c 300A</t>
    <phoneticPr fontId="10" type="noConversion"/>
  </si>
  <si>
    <t>95 (연선)*2</t>
    <phoneticPr fontId="10" type="noConversion"/>
  </si>
  <si>
    <t>300A</t>
    <phoneticPr fontId="10" type="noConversion"/>
  </si>
  <si>
    <t>ABS203c 225A</t>
    <phoneticPr fontId="10" type="noConversion"/>
  </si>
  <si>
    <t>400A</t>
    <phoneticPr fontId="10" type="noConversion"/>
  </si>
  <si>
    <t>300A</t>
    <phoneticPr fontId="10" type="noConversion"/>
  </si>
  <si>
    <t>ABS403c 400A</t>
    <phoneticPr fontId="10" type="noConversion"/>
  </si>
  <si>
    <t>500A</t>
    <phoneticPr fontId="10" type="noConversion"/>
  </si>
  <si>
    <t>ABS603c 500A</t>
    <phoneticPr fontId="10" type="noConversion"/>
  </si>
  <si>
    <t>40*8T (부스바)</t>
    <phoneticPr fontId="10" type="noConversion"/>
  </si>
  <si>
    <t>600A</t>
    <phoneticPr fontId="10" type="noConversion"/>
  </si>
  <si>
    <t>40*6T (부스바)</t>
    <phoneticPr fontId="10" type="noConversion"/>
  </si>
  <si>
    <t>500A</t>
    <phoneticPr fontId="10" type="noConversion"/>
  </si>
  <si>
    <t>ABS603c 630A</t>
    <phoneticPr fontId="10" type="noConversion"/>
  </si>
  <si>
    <t>800A</t>
    <phoneticPr fontId="10" type="noConversion"/>
  </si>
  <si>
    <t>ABS603c 630A</t>
    <phoneticPr fontId="10" type="noConversion"/>
  </si>
  <si>
    <t>ABS803c 800A</t>
    <phoneticPr fontId="10" type="noConversion"/>
  </si>
  <si>
    <t>50*10T (부스바)</t>
    <phoneticPr fontId="10" type="noConversion"/>
  </si>
  <si>
    <t>800A</t>
    <phoneticPr fontId="10" type="noConversion"/>
  </si>
  <si>
    <t>ABS803c 800A</t>
    <phoneticPr fontId="10" type="noConversion"/>
  </si>
  <si>
    <t>800A</t>
    <phoneticPr fontId="10" type="noConversion"/>
  </si>
  <si>
    <t>50*11T (부스바)</t>
  </si>
  <si>
    <t>900A</t>
    <phoneticPr fontId="10" type="noConversion"/>
  </si>
  <si>
    <t>ABS1003c 1000A</t>
    <phoneticPr fontId="10" type="noConversion"/>
  </si>
  <si>
    <t>50*12T (부스바)</t>
    <phoneticPr fontId="10" type="noConversion"/>
  </si>
  <si>
    <t>1000A</t>
    <phoneticPr fontId="10" type="noConversion"/>
  </si>
  <si>
    <t>ABS1003c 1200A</t>
    <phoneticPr fontId="10" type="noConversion"/>
  </si>
  <si>
    <t>1200A</t>
    <phoneticPr fontId="10" type="noConversion"/>
  </si>
  <si>
    <t>ACB_1250A</t>
    <phoneticPr fontId="10" type="noConversion"/>
  </si>
  <si>
    <t>DH-804_480 (편조선)</t>
    <phoneticPr fontId="10" type="noConversion"/>
  </si>
  <si>
    <t>-</t>
    <phoneticPr fontId="10" type="noConversion"/>
  </si>
  <si>
    <t>ACB_1250A</t>
    <phoneticPr fontId="10" type="noConversion"/>
  </si>
  <si>
    <t>-</t>
    <phoneticPr fontId="10" type="noConversion"/>
  </si>
  <si>
    <t>ACB_1600A</t>
    <phoneticPr fontId="10" type="noConversion"/>
  </si>
  <si>
    <t>DH-805_640 (편조선)</t>
    <phoneticPr fontId="10" type="noConversion"/>
  </si>
  <si>
    <t>-</t>
    <phoneticPr fontId="10" type="noConversion"/>
  </si>
  <si>
    <t>ACB_2000A</t>
    <phoneticPr fontId="10" type="noConversion"/>
  </si>
  <si>
    <t>DH-1006_800 (편조선)</t>
    <phoneticPr fontId="10" type="noConversion"/>
  </si>
  <si>
    <t>ACB_2500A</t>
    <phoneticPr fontId="10" type="noConversion"/>
  </si>
  <si>
    <t>DH-1007_1000 (편조선)</t>
    <phoneticPr fontId="10" type="noConversion"/>
  </si>
  <si>
    <t>-</t>
    <phoneticPr fontId="10" type="noConversion"/>
  </si>
  <si>
    <t>ACB_2500A</t>
    <phoneticPr fontId="10" type="noConversion"/>
  </si>
  <si>
    <t>DH-1007_1000 (편조선)</t>
    <phoneticPr fontId="10" type="noConversion"/>
  </si>
  <si>
    <t>ACB_2500A</t>
    <phoneticPr fontId="10" type="noConversion"/>
  </si>
  <si>
    <t>ACB_2000A</t>
    <phoneticPr fontId="10" type="noConversion"/>
  </si>
  <si>
    <t>ACB_2000A</t>
    <phoneticPr fontId="10" type="noConversion"/>
  </si>
  <si>
    <t>DH-1006_800 (편조선)</t>
    <phoneticPr fontId="10" type="noConversion"/>
  </si>
  <si>
    <t>ACB_3200A</t>
    <phoneticPr fontId="10" type="noConversion"/>
  </si>
  <si>
    <t>DH-1006_800*2 (편조선)</t>
    <phoneticPr fontId="10" type="noConversion"/>
  </si>
  <si>
    <t>ACB_2500A</t>
    <phoneticPr fontId="10" type="noConversion"/>
  </si>
  <si>
    <t>DH-1007_1000 (편조선)</t>
    <phoneticPr fontId="10" type="noConversion"/>
  </si>
  <si>
    <t>ACB_4000A</t>
    <phoneticPr fontId="10" type="noConversion"/>
  </si>
  <si>
    <t>DH-1006_800*2 (편조선)</t>
    <phoneticPr fontId="10" type="noConversion"/>
  </si>
  <si>
    <t>DH-1006_800*2 (편조선)</t>
    <phoneticPr fontId="10" type="noConversion"/>
  </si>
  <si>
    <t>&lt;코일 인덕턴스 계산 공식, C/T 및 출력케이블포함&gt;</t>
    <phoneticPr fontId="2" type="noConversion"/>
  </si>
  <si>
    <t>&lt;트랜스포머 최소 턴수 계산 공식&gt;</t>
    <phoneticPr fontId="2" type="noConversion"/>
  </si>
  <si>
    <t>&lt;동 부스바(AC) 발열량 계산 공식&gt;</t>
    <phoneticPr fontId="2" type="noConversion"/>
  </si>
  <si>
    <t>&lt;Fault 발생시 L에 의한 VDC 상승전압 계산공식&gt;</t>
    <phoneticPr fontId="2" type="noConversion"/>
  </si>
  <si>
    <t>코일턴수</t>
    <phoneticPr fontId="2" type="noConversion"/>
  </si>
  <si>
    <t>Turns</t>
    <phoneticPr fontId="2" type="noConversion"/>
  </si>
  <si>
    <t>Turns</t>
    <phoneticPr fontId="2" type="noConversion"/>
  </si>
  <si>
    <t>일차 최대전압</t>
    <phoneticPr fontId="2" type="noConversion"/>
  </si>
  <si>
    <t>V</t>
    <phoneticPr fontId="2" type="noConversion"/>
  </si>
  <si>
    <t>V</t>
    <phoneticPr fontId="2" type="noConversion"/>
  </si>
  <si>
    <t>사용 재료</t>
    <phoneticPr fontId="10" type="noConversion"/>
  </si>
  <si>
    <t>타프피치 동</t>
    <phoneticPr fontId="10" type="noConversion"/>
  </si>
  <si>
    <t>코일 L값</t>
    <phoneticPr fontId="2" type="noConversion"/>
  </si>
  <si>
    <t>uH</t>
    <phoneticPr fontId="2" type="noConversion"/>
  </si>
  <si>
    <t>uH</t>
    <phoneticPr fontId="2" type="noConversion"/>
  </si>
  <si>
    <t>내부직경</t>
    <phoneticPr fontId="2" type="noConversion"/>
  </si>
  <si>
    <t>mm</t>
    <phoneticPr fontId="2" type="noConversion"/>
  </si>
  <si>
    <t>최대자속밀도(온도dT기준)</t>
    <phoneticPr fontId="2" type="noConversion"/>
  </si>
  <si>
    <t>Tesla</t>
    <phoneticPr fontId="2" type="noConversion"/>
  </si>
  <si>
    <t>Tesla</t>
    <phoneticPr fontId="2" type="noConversion"/>
  </si>
  <si>
    <t>도체 고유전기저항</t>
    <phoneticPr fontId="2" type="noConversion"/>
  </si>
  <si>
    <t>[Ωm×10E-8]</t>
    <phoneticPr fontId="2" type="noConversion"/>
  </si>
  <si>
    <t>[Ωm×10E-8]</t>
    <phoneticPr fontId="2" type="noConversion"/>
  </si>
  <si>
    <t>인버터 출력전류</t>
    <phoneticPr fontId="2" type="noConversion"/>
  </si>
  <si>
    <t>인버터 출력전류</t>
    <phoneticPr fontId="2" type="noConversion"/>
  </si>
  <si>
    <t>A</t>
    <phoneticPr fontId="2" type="noConversion"/>
  </si>
  <si>
    <t>A</t>
    <phoneticPr fontId="2" type="noConversion"/>
  </si>
  <si>
    <t>높이</t>
    <phoneticPr fontId="2" type="noConversion"/>
  </si>
  <si>
    <t>mm</t>
    <phoneticPr fontId="2" type="noConversion"/>
  </si>
  <si>
    <t>중족단면적</t>
    <phoneticPr fontId="2" type="noConversion"/>
  </si>
  <si>
    <t>cmSq</t>
    <phoneticPr fontId="2" type="noConversion"/>
  </si>
  <si>
    <t>도체의 온도저항계수</t>
    <phoneticPr fontId="2" type="noConversion"/>
  </si>
  <si>
    <t>도체의 온도저항계수</t>
    <phoneticPr fontId="2" type="noConversion"/>
  </si>
  <si>
    <t>at 20℃</t>
    <phoneticPr fontId="2" type="noConversion"/>
  </si>
  <si>
    <t>at 20℃</t>
    <phoneticPr fontId="2" type="noConversion"/>
  </si>
  <si>
    <t>DC LINK C값</t>
    <phoneticPr fontId="2" type="noConversion"/>
  </si>
  <si>
    <t>uF</t>
    <phoneticPr fontId="2" type="noConversion"/>
  </si>
  <si>
    <t>uF</t>
    <phoneticPr fontId="2" type="noConversion"/>
  </si>
  <si>
    <t>무부하 인덕턴스</t>
    <phoneticPr fontId="2" type="noConversion"/>
  </si>
  <si>
    <t>스위칭주파수</t>
    <phoneticPr fontId="2" type="noConversion"/>
  </si>
  <si>
    <t>Hz</t>
    <phoneticPr fontId="2" type="noConversion"/>
  </si>
  <si>
    <t>Hz</t>
    <phoneticPr fontId="2" type="noConversion"/>
  </si>
  <si>
    <t>도체의 온도</t>
    <phoneticPr fontId="2" type="noConversion"/>
  </si>
  <si>
    <t>도체의 온도</t>
    <phoneticPr fontId="2" type="noConversion"/>
  </si>
  <si>
    <t>℃</t>
  </si>
  <si>
    <t>VDC (동작: RUN 중)</t>
    <phoneticPr fontId="2" type="noConversion"/>
  </si>
  <si>
    <t>L값 감소율</t>
    <phoneticPr fontId="2" type="noConversion"/>
  </si>
  <si>
    <t>%</t>
    <phoneticPr fontId="2" type="noConversion"/>
  </si>
  <si>
    <t>%</t>
    <phoneticPr fontId="2" type="noConversion"/>
  </si>
  <si>
    <t>최소 일차턴수</t>
    <phoneticPr fontId="2" type="noConversion"/>
  </si>
  <si>
    <t>turn</t>
    <phoneticPr fontId="2" type="noConversion"/>
  </si>
  <si>
    <t xml:space="preserve">도체의 산출저항 </t>
    <phoneticPr fontId="2" type="noConversion"/>
  </si>
  <si>
    <t xml:space="preserve">도체의 산출저항 </t>
    <phoneticPr fontId="2" type="noConversion"/>
  </si>
  <si>
    <t>VDC (Fault 발생시 상승전압)</t>
    <phoneticPr fontId="2" type="noConversion"/>
  </si>
  <si>
    <t>부하 인덕턴스</t>
    <phoneticPr fontId="2" type="noConversion"/>
  </si>
  <si>
    <t>도체의 산출 전도도</t>
    <phoneticPr fontId="10" type="noConversion"/>
  </si>
  <si>
    <t>[SIMENS/m]</t>
    <phoneticPr fontId="10" type="noConversion"/>
  </si>
  <si>
    <t>출력케이블L값</t>
    <phoneticPr fontId="2" type="noConversion"/>
  </si>
  <si>
    <t>&lt;직렬공진주파수 계산 공식&gt;</t>
    <phoneticPr fontId="2" type="noConversion"/>
  </si>
  <si>
    <t>비투자율</t>
    <phoneticPr fontId="2" type="noConversion"/>
  </si>
  <si>
    <t>비투자율</t>
    <phoneticPr fontId="2" type="noConversion"/>
  </si>
  <si>
    <t>ui</t>
    <phoneticPr fontId="10" type="noConversion"/>
  </si>
  <si>
    <t>&lt;DC LINK CAPACITOR 리플 전압,전류 계산 공식&gt;</t>
    <phoneticPr fontId="2" type="noConversion"/>
  </si>
  <si>
    <t>C/T권선비</t>
    <phoneticPr fontId="2" type="noConversion"/>
  </si>
  <si>
    <t>:1</t>
    <phoneticPr fontId="2" type="noConversion"/>
  </si>
  <si>
    <t>공진콘덴서</t>
    <phoneticPr fontId="2" type="noConversion"/>
  </si>
  <si>
    <t>주파수</t>
    <phoneticPr fontId="2" type="noConversion"/>
  </si>
  <si>
    <t>주파수</t>
    <phoneticPr fontId="2" type="noConversion"/>
  </si>
  <si>
    <t>[Hz]</t>
    <phoneticPr fontId="2" type="noConversion"/>
  </si>
  <si>
    <t>[Hz]</t>
    <phoneticPr fontId="2" type="noConversion"/>
  </si>
  <si>
    <t>코일 병렬 수</t>
    <phoneticPr fontId="2" type="noConversion"/>
  </si>
  <si>
    <t>병렬</t>
    <phoneticPr fontId="2" type="noConversion"/>
  </si>
  <si>
    <t>공진인덕터</t>
    <phoneticPr fontId="2" type="noConversion"/>
  </si>
  <si>
    <t>Skin Depth</t>
    <phoneticPr fontId="2" type="noConversion"/>
  </si>
  <si>
    <t>Skin Depth</t>
    <phoneticPr fontId="2" type="noConversion"/>
  </si>
  <si>
    <t>[mm]</t>
    <phoneticPr fontId="10" type="noConversion"/>
  </si>
  <si>
    <t>VDC 평균값</t>
    <phoneticPr fontId="2" type="noConversion"/>
  </si>
  <si>
    <t>코일 직렬 수</t>
    <phoneticPr fontId="2" type="noConversion"/>
  </si>
  <si>
    <t>직렬</t>
    <phoneticPr fontId="2" type="noConversion"/>
  </si>
  <si>
    <t>공진주파수</t>
    <phoneticPr fontId="2" type="noConversion"/>
  </si>
  <si>
    <t>Hz (결과)</t>
    <phoneticPr fontId="2" type="noConversion"/>
  </si>
  <si>
    <t>Hz (결과)</t>
    <phoneticPr fontId="2" type="noConversion"/>
  </si>
  <si>
    <t>배선길이</t>
    <phoneticPr fontId="2" type="noConversion"/>
  </si>
  <si>
    <t>배선길이</t>
    <phoneticPr fontId="2" type="noConversion"/>
  </si>
  <si>
    <t>C/T1차 인덕턴스</t>
    <phoneticPr fontId="2" type="noConversion"/>
  </si>
  <si>
    <t xml:space="preserve">두께 : 부스바 </t>
    <phoneticPr fontId="2" type="noConversion"/>
  </si>
  <si>
    <t>동작주파수</t>
    <phoneticPr fontId="2" type="noConversion"/>
  </si>
  <si>
    <t>&lt;콘덴서 내전압 계산 공식&gt;</t>
    <phoneticPr fontId="2" type="noConversion"/>
  </si>
  <si>
    <t>Min(스킨뎁스,두께)</t>
    <phoneticPr fontId="2" type="noConversion"/>
  </si>
  <si>
    <t>Min(스킨뎁스,두께)</t>
    <phoneticPr fontId="2" type="noConversion"/>
  </si>
  <si>
    <t>DC LINK CAP 리플 함유율(peak to peak)</t>
    <phoneticPr fontId="2" type="noConversion"/>
  </si>
  <si>
    <t>&lt;공진 C 계산 공식&gt;</t>
    <phoneticPr fontId="2" type="noConversion"/>
  </si>
  <si>
    <t>콘덴서</t>
    <phoneticPr fontId="2" type="noConversion"/>
  </si>
  <si>
    <t>uF</t>
  </si>
  <si>
    <t xml:space="preserve">부스바 폭(너비) </t>
    <phoneticPr fontId="2" type="noConversion"/>
  </si>
  <si>
    <t xml:space="preserve">부스바 폭(너비) </t>
    <phoneticPr fontId="2" type="noConversion"/>
  </si>
  <si>
    <t>DC LINK CAP RIPPLE Voltage</t>
    <phoneticPr fontId="2" type="noConversion"/>
  </si>
  <si>
    <t>단위 C 용량</t>
    <phoneticPr fontId="2" type="noConversion"/>
  </si>
  <si>
    <t>인가주파수</t>
    <phoneticPr fontId="2" type="noConversion"/>
  </si>
  <si>
    <t>kHz</t>
    <phoneticPr fontId="2" type="noConversion"/>
  </si>
  <si>
    <t>kHz</t>
    <phoneticPr fontId="2" type="noConversion"/>
  </si>
  <si>
    <t>단면적</t>
    <phoneticPr fontId="2" type="noConversion"/>
  </si>
  <si>
    <t>단면적</t>
    <phoneticPr fontId="2" type="noConversion"/>
  </si>
  <si>
    <t>[mmSQ]</t>
    <phoneticPr fontId="10" type="noConversion"/>
  </si>
  <si>
    <t>DC LINK CAP RIPPLE Current</t>
    <phoneticPr fontId="2" type="noConversion"/>
  </si>
  <si>
    <t>전체 탭</t>
    <phoneticPr fontId="2" type="noConversion"/>
  </si>
  <si>
    <t>탭</t>
    <phoneticPr fontId="2" type="noConversion"/>
  </si>
  <si>
    <t>통전전류</t>
    <phoneticPr fontId="2" type="noConversion"/>
  </si>
  <si>
    <t>인가전류</t>
    <phoneticPr fontId="2" type="noConversion"/>
  </si>
  <si>
    <t>인가전류</t>
    <phoneticPr fontId="2" type="noConversion"/>
  </si>
  <si>
    <t>[A]</t>
    <phoneticPr fontId="2" type="noConversion"/>
  </si>
  <si>
    <t>[A]</t>
    <phoneticPr fontId="2" type="noConversion"/>
  </si>
  <si>
    <t>정격 전압</t>
    <phoneticPr fontId="2" type="noConversion"/>
  </si>
  <si>
    <t>콘덴서전압</t>
    <phoneticPr fontId="2" type="noConversion"/>
  </si>
  <si>
    <t>mmSQ당 전류</t>
    <phoneticPr fontId="2" type="noConversion"/>
  </si>
  <si>
    <t>&lt;수냉케이블 L값 계산 공식: 10kHz 기준, 트위스트 하지 않음&gt;</t>
    <phoneticPr fontId="2" type="noConversion"/>
  </si>
  <si>
    <t>정격 전류</t>
    <phoneticPr fontId="2" type="noConversion"/>
  </si>
  <si>
    <t>발열량</t>
    <phoneticPr fontId="2" type="noConversion"/>
  </si>
  <si>
    <t>[W]</t>
    <phoneticPr fontId="2" type="noConversion"/>
  </si>
  <si>
    <t>[W]</t>
    <phoneticPr fontId="2" type="noConversion"/>
  </si>
  <si>
    <t xml:space="preserve">단위길이당 L값 (2EA) </t>
    <phoneticPr fontId="2" type="noConversion"/>
  </si>
  <si>
    <t>uH</t>
  </si>
  <si>
    <t>사용 탭</t>
    <phoneticPr fontId="2" type="noConversion"/>
  </si>
  <si>
    <t>&lt;스너버C 용량 적정성 검토 계산 공식&gt;</t>
    <phoneticPr fontId="2" type="noConversion"/>
  </si>
  <si>
    <t>수냉케이블 길이 (2EA)</t>
    <phoneticPr fontId="2" type="noConversion"/>
  </si>
  <si>
    <t>m</t>
    <phoneticPr fontId="2" type="noConversion"/>
  </si>
  <si>
    <t>m</t>
    <phoneticPr fontId="2" type="noConversion"/>
  </si>
  <si>
    <t>직렬 연결 수량</t>
    <phoneticPr fontId="2" type="noConversion"/>
  </si>
  <si>
    <t>Vdc 전압</t>
    <phoneticPr fontId="10" type="noConversion"/>
  </si>
  <si>
    <t>Vdc</t>
    <phoneticPr fontId="10" type="noConversion"/>
  </si>
  <si>
    <t>&lt;동 파이프(AC) 발열량 계산 공식&gt;</t>
    <phoneticPr fontId="2" type="noConversion"/>
  </si>
  <si>
    <t>수냉케이블 L값 (2EA)</t>
    <phoneticPr fontId="2" type="noConversion"/>
  </si>
  <si>
    <t>병렬 연결 수량</t>
    <phoneticPr fontId="2" type="noConversion"/>
  </si>
  <si>
    <t>C스너버 개당 C값</t>
    <phoneticPr fontId="10" type="noConversion"/>
  </si>
  <si>
    <t>nF</t>
    <phoneticPr fontId="10" type="noConversion"/>
  </si>
  <si>
    <t>전체 C 용량</t>
    <phoneticPr fontId="2" type="noConversion"/>
  </si>
  <si>
    <t>C스너버 보드당 C갯수</t>
    <phoneticPr fontId="10" type="noConversion"/>
  </si>
  <si>
    <t>개</t>
    <phoneticPr fontId="10" type="noConversion"/>
  </si>
  <si>
    <t xml:space="preserve">단위길이당 L값 (4EA) </t>
    <phoneticPr fontId="2" type="noConversion"/>
  </si>
  <si>
    <t>사용가능 전압</t>
    <phoneticPr fontId="2" type="noConversion"/>
  </si>
  <si>
    <t>보드를 겹침 수량</t>
    <phoneticPr fontId="10" type="noConversion"/>
  </si>
  <si>
    <t>수냉케이블 길이 (4EA)</t>
    <phoneticPr fontId="2" type="noConversion"/>
  </si>
  <si>
    <t>사용가능 전류</t>
    <phoneticPr fontId="2" type="noConversion"/>
  </si>
  <si>
    <t>상하 고려</t>
    <phoneticPr fontId="10" type="noConversion"/>
  </si>
  <si>
    <t>수냉케이블 L값 (4EA)</t>
    <phoneticPr fontId="2" type="noConversion"/>
  </si>
  <si>
    <t>KVA</t>
    <phoneticPr fontId="2" type="noConversion"/>
  </si>
  <si>
    <t>KVA</t>
    <phoneticPr fontId="2" type="noConversion"/>
  </si>
  <si>
    <t>상하 데드타임</t>
    <phoneticPr fontId="10" type="noConversion"/>
  </si>
  <si>
    <t>us</t>
    <phoneticPr fontId="10" type="noConversion"/>
  </si>
  <si>
    <t>모듈 출력전류</t>
    <phoneticPr fontId="10" type="noConversion"/>
  </si>
  <si>
    <t>Arms</t>
    <phoneticPr fontId="10" type="noConversion"/>
  </si>
  <si>
    <t>&lt;Q값 계산 공식 :공진 C 기준&gt;</t>
    <phoneticPr fontId="2" type="noConversion"/>
  </si>
  <si>
    <t>운전 모듈 수량</t>
    <phoneticPr fontId="10" type="noConversion"/>
  </si>
  <si>
    <t>대</t>
    <phoneticPr fontId="10" type="noConversion"/>
  </si>
  <si>
    <t>인버터 출력전류</t>
    <phoneticPr fontId="10" type="noConversion"/>
  </si>
  <si>
    <t>콘덴서값</t>
    <phoneticPr fontId="2" type="noConversion"/>
  </si>
  <si>
    <t>1차 공진전류</t>
    <phoneticPr fontId="2" type="noConversion"/>
  </si>
  <si>
    <t>정격전류시 상승시간</t>
    <phoneticPr fontId="10" type="noConversion"/>
  </si>
  <si>
    <t>ON-POLE</t>
    <phoneticPr fontId="10" type="noConversion"/>
  </si>
  <si>
    <t>&lt;FUSE 용량 계산 공식&gt;</t>
    <phoneticPr fontId="2" type="noConversion"/>
  </si>
  <si>
    <t>입력전력</t>
    <phoneticPr fontId="2" type="noConversion"/>
  </si>
  <si>
    <t>kW</t>
    <phoneticPr fontId="2" type="noConversion"/>
  </si>
  <si>
    <t>kW</t>
    <phoneticPr fontId="2" type="noConversion"/>
  </si>
  <si>
    <t>스위칭각</t>
    <phoneticPr fontId="10" type="noConversion"/>
  </si>
  <si>
    <t>deg</t>
    <phoneticPr fontId="10" type="noConversion"/>
  </si>
  <si>
    <t>두께 : 파이프</t>
    <phoneticPr fontId="2" type="noConversion"/>
  </si>
  <si>
    <t>입력선전압</t>
    <phoneticPr fontId="2" type="noConversion"/>
  </si>
  <si>
    <t>트랜스포머 권선비</t>
    <phoneticPr fontId="2" type="noConversion"/>
  </si>
  <si>
    <t>스위칭 전류</t>
    <phoneticPr fontId="10" type="noConversion"/>
  </si>
  <si>
    <t>A</t>
    <phoneticPr fontId="10" type="noConversion"/>
  </si>
  <si>
    <t>입력선전류</t>
    <phoneticPr fontId="2" type="noConversion"/>
  </si>
  <si>
    <t>공진전압</t>
    <phoneticPr fontId="2" type="noConversion"/>
  </si>
  <si>
    <t>VAC</t>
    <phoneticPr fontId="2" type="noConversion"/>
  </si>
  <si>
    <t>전압 상승 소요시간</t>
    <phoneticPr fontId="10" type="noConversion"/>
  </si>
  <si>
    <t>nsec</t>
    <phoneticPr fontId="10" type="noConversion"/>
  </si>
  <si>
    <t>파이프 외경</t>
    <phoneticPr fontId="2" type="noConversion"/>
  </si>
  <si>
    <t>FUSE 정격전압</t>
    <phoneticPr fontId="2" type="noConversion"/>
  </si>
  <si>
    <t>V 이상</t>
    <phoneticPr fontId="2" type="noConversion"/>
  </si>
  <si>
    <t>2차공진전류</t>
    <phoneticPr fontId="2" type="noConversion"/>
  </si>
  <si>
    <t xml:space="preserve">단면적 </t>
    <phoneticPr fontId="2" type="noConversion"/>
  </si>
  <si>
    <t>FUSE 정격전류</t>
    <phoneticPr fontId="2" type="noConversion"/>
  </si>
  <si>
    <t>A 이상</t>
    <phoneticPr fontId="2" type="noConversion"/>
  </si>
  <si>
    <t>데드타임 에 맞추기 위한</t>
    <phoneticPr fontId="10" type="noConversion"/>
  </si>
  <si>
    <t>ZVS 모듈 스위칭 전류</t>
    <phoneticPr fontId="10" type="noConversion"/>
  </si>
  <si>
    <t>mmSQ당 전류</t>
    <phoneticPr fontId="2" type="noConversion"/>
  </si>
  <si>
    <t>&lt;컷오프주파수 계산 공식&gt;</t>
    <phoneticPr fontId="2" type="noConversion"/>
  </si>
  <si>
    <t>ZVS 모듈 전류</t>
    <phoneticPr fontId="10" type="noConversion"/>
  </si>
  <si>
    <t>&lt;위상각 계산 공식&gt;</t>
    <phoneticPr fontId="2" type="noConversion"/>
  </si>
  <si>
    <t>인버터 출력전류</t>
    <phoneticPr fontId="10" type="noConversion"/>
  </si>
  <si>
    <t>Po</t>
    <phoneticPr fontId="2" type="noConversion"/>
  </si>
  <si>
    <t>kw</t>
    <phoneticPr fontId="2" type="noConversion"/>
  </si>
  <si>
    <t>정격전류 대비 율</t>
    <phoneticPr fontId="10" type="noConversion"/>
  </si>
  <si>
    <t>%</t>
    <phoneticPr fontId="10" type="noConversion"/>
  </si>
  <si>
    <t>&lt;사각 파이프(AC) 발열량 계산 공식&gt;</t>
    <phoneticPr fontId="2" type="noConversion"/>
  </si>
  <si>
    <t>공진주파수</t>
    <phoneticPr fontId="2" type="noConversion"/>
  </si>
  <si>
    <t>IR</t>
    <phoneticPr fontId="2" type="noConversion"/>
  </si>
  <si>
    <t>정격전력 대비 율</t>
    <phoneticPr fontId="10" type="noConversion"/>
  </si>
  <si>
    <t>%</t>
    <phoneticPr fontId="10" type="noConversion"/>
  </si>
  <si>
    <t>VDC</t>
    <phoneticPr fontId="2" type="noConversion"/>
  </si>
  <si>
    <t>&lt;L값 계산 공식&gt;</t>
    <phoneticPr fontId="2" type="noConversion"/>
  </si>
  <si>
    <t>HALF(2)/FULL(1)</t>
    <phoneticPr fontId="2" type="noConversion"/>
  </si>
  <si>
    <t>&lt;Dead Time 계산 공식&gt;</t>
    <phoneticPr fontId="2" type="noConversion"/>
  </si>
  <si>
    <t>인덕터 인가 전압</t>
    <phoneticPr fontId="2" type="noConversion"/>
  </si>
  <si>
    <t>스너버 C값(POLE 기준)</t>
    <phoneticPr fontId="10" type="noConversion"/>
  </si>
  <si>
    <t>COSθ</t>
    <phoneticPr fontId="2" type="noConversion"/>
  </si>
  <si>
    <t>VDC 전압</t>
    <phoneticPr fontId="10" type="noConversion"/>
  </si>
  <si>
    <t>V</t>
    <phoneticPr fontId="10" type="noConversion"/>
  </si>
  <si>
    <t>인덕터 통전 전류</t>
    <phoneticPr fontId="2" type="noConversion"/>
  </si>
  <si>
    <t>θ (위상각, Phase)</t>
    <phoneticPr fontId="2" type="noConversion"/>
  </si>
  <si>
    <t>스위칭전류</t>
    <phoneticPr fontId="10" type="noConversion"/>
  </si>
  <si>
    <t>인덕턴스</t>
    <phoneticPr fontId="2" type="noConversion"/>
  </si>
  <si>
    <t>Uh</t>
    <phoneticPr fontId="2" type="noConversion"/>
  </si>
  <si>
    <t>스위칭시 전압 상승시간</t>
    <phoneticPr fontId="10" type="noConversion"/>
  </si>
  <si>
    <t>ns</t>
    <phoneticPr fontId="10" type="noConversion"/>
  </si>
  <si>
    <t>&lt;평판 인덕턴스 계산 공식&gt;</t>
    <phoneticPr fontId="2" type="noConversion"/>
  </si>
  <si>
    <t>폭</t>
    <phoneticPr fontId="2" type="noConversion"/>
  </si>
  <si>
    <t>&lt;동축케이블 커패시턴스 계산 공식&gt;</t>
    <phoneticPr fontId="2" type="noConversion"/>
  </si>
  <si>
    <t>판사이거리</t>
    <phoneticPr fontId="2" type="noConversion"/>
  </si>
  <si>
    <t>내부도체외경</t>
    <phoneticPr fontId="2" type="noConversion"/>
  </si>
  <si>
    <t>판길이</t>
    <phoneticPr fontId="2" type="noConversion"/>
  </si>
  <si>
    <t>절연체두께</t>
    <phoneticPr fontId="2" type="noConversion"/>
  </si>
  <si>
    <t>[mm]</t>
    <phoneticPr fontId="10" type="noConversion"/>
  </si>
  <si>
    <t>L</t>
    <phoneticPr fontId="2" type="noConversion"/>
  </si>
  <si>
    <t>nH</t>
    <phoneticPr fontId="2" type="noConversion"/>
  </si>
  <si>
    <t>외부도체내경</t>
    <phoneticPr fontId="2" type="noConversion"/>
  </si>
  <si>
    <t>공기유전율 (ε0)</t>
    <phoneticPr fontId="10" type="noConversion"/>
  </si>
  <si>
    <t>가로(외곽)</t>
    <phoneticPr fontId="2" type="noConversion"/>
  </si>
  <si>
    <t>&lt;평판 커패시턴스 계산 공식&gt;</t>
    <phoneticPr fontId="2" type="noConversion"/>
  </si>
  <si>
    <t>비유전율 (εr)</t>
    <phoneticPr fontId="2" type="noConversion"/>
  </si>
  <si>
    <t>테프론(2.1)</t>
    <phoneticPr fontId="2" type="noConversion"/>
  </si>
  <si>
    <t>세로(외곽)</t>
    <phoneticPr fontId="2" type="noConversion"/>
  </si>
  <si>
    <t>판 면적</t>
    <phoneticPr fontId="2" type="noConversion"/>
  </si>
  <si>
    <t>mm^2</t>
    <phoneticPr fontId="2" type="noConversion"/>
  </si>
  <si>
    <t>mm^2</t>
    <phoneticPr fontId="2" type="noConversion"/>
  </si>
  <si>
    <t>C(단위길이당 1m 당)</t>
    <phoneticPr fontId="2" type="noConversion"/>
  </si>
  <si>
    <t>nF</t>
    <phoneticPr fontId="2" type="noConversion"/>
  </si>
  <si>
    <t>판사이거리(절연체두께)</t>
    <phoneticPr fontId="2" type="noConversion"/>
  </si>
  <si>
    <t>케이블 길이</t>
    <phoneticPr fontId="2" type="noConversion"/>
  </si>
  <si>
    <t>테프론(2.1)</t>
    <phoneticPr fontId="2" type="noConversion"/>
  </si>
  <si>
    <t xml:space="preserve">C값 </t>
    <phoneticPr fontId="2" type="noConversion"/>
  </si>
  <si>
    <t>nF</t>
    <phoneticPr fontId="2" type="noConversion"/>
  </si>
  <si>
    <t>C</t>
    <phoneticPr fontId="2" type="noConversion"/>
  </si>
  <si>
    <t>&lt;코아/주파수별 자속밀도 실험 데이터&gt;</t>
    <phoneticPr fontId="2" type="noConversion"/>
  </si>
  <si>
    <t>&lt;동 부스바(DC) 발열량 계산 공식&gt;</t>
    <phoneticPr fontId="2" type="noConversion"/>
  </si>
  <si>
    <t>&lt;동 부스바(DC) 발열량 계산 공식&gt;</t>
    <phoneticPr fontId="2" type="noConversion"/>
  </si>
  <si>
    <t>규소강판[Tesla]</t>
    <phoneticPr fontId="2" type="noConversion"/>
  </si>
  <si>
    <t>아몰퍼스[Tesla]</t>
    <phoneticPr fontId="2" type="noConversion"/>
  </si>
  <si>
    <t>페라이트[Tesla]</t>
    <phoneticPr fontId="2" type="noConversion"/>
  </si>
  <si>
    <t>타프피치 동</t>
    <phoneticPr fontId="10" type="noConversion"/>
  </si>
  <si>
    <t>주파수[kHz]</t>
    <phoneticPr fontId="2" type="noConversion"/>
  </si>
  <si>
    <t>dT 80℃기준</t>
    <phoneticPr fontId="2" type="noConversion"/>
  </si>
  <si>
    <t>dT 75~80℃기준</t>
    <phoneticPr fontId="2" type="noConversion"/>
  </si>
  <si>
    <t>dT 60℃기준</t>
    <phoneticPr fontId="2" type="noConversion"/>
  </si>
  <si>
    <t>ui</t>
    <phoneticPr fontId="10" type="noConversion"/>
  </si>
  <si>
    <t>&lt;코아 중족 단면적 ( 1조기준, 주사용품)&gt;</t>
    <phoneticPr fontId="2" type="noConversion"/>
  </si>
  <si>
    <t>&lt;DC 인덕터 L값)&gt;</t>
    <phoneticPr fontId="2" type="noConversion"/>
  </si>
  <si>
    <t>코아 종류</t>
    <phoneticPr fontId="2" type="noConversion"/>
  </si>
  <si>
    <t>중족단면적(Ae)</t>
    <phoneticPr fontId="2" type="noConversion"/>
  </si>
  <si>
    <t>규격</t>
    <phoneticPr fontId="2" type="noConversion"/>
  </si>
  <si>
    <t>자재코드</t>
    <phoneticPr fontId="2" type="noConversion"/>
  </si>
  <si>
    <t>L값(360Hz)</t>
    <phoneticPr fontId="2" type="noConversion"/>
  </si>
  <si>
    <t>규소강판(0.2t, Si 3%)</t>
    <phoneticPr fontId="2" type="noConversion"/>
  </si>
  <si>
    <t>cm^2</t>
    <phoneticPr fontId="2" type="noConversion"/>
  </si>
  <si>
    <t>cm^2</t>
    <phoneticPr fontId="2" type="noConversion"/>
  </si>
  <si>
    <t xml:space="preserve">[PSIH-50XF-L1F-V1] </t>
    <phoneticPr fontId="2" type="noConversion"/>
  </si>
  <si>
    <t>LLL00001</t>
    <phoneticPr fontId="10" type="noConversion"/>
  </si>
  <si>
    <t>60uH</t>
    <phoneticPr fontId="10" type="noConversion"/>
  </si>
  <si>
    <t>아몰퍼스(50x175xSF)</t>
    <phoneticPr fontId="2" type="noConversion"/>
  </si>
  <si>
    <t xml:space="preserve">[PSIH-050HF-LO-01] </t>
    <phoneticPr fontId="2" type="noConversion"/>
  </si>
  <si>
    <t>LLL00005</t>
    <phoneticPr fontId="10" type="noConversion"/>
  </si>
  <si>
    <t>390uH</t>
    <phoneticPr fontId="10" type="noConversion"/>
  </si>
  <si>
    <t>UU100</t>
    <phoneticPr fontId="2" type="noConversion"/>
  </si>
  <si>
    <t>[PSIH-100XF-LI-V1]</t>
    <phoneticPr fontId="2" type="noConversion"/>
  </si>
  <si>
    <t>LLL00060</t>
    <phoneticPr fontId="10" type="noConversion"/>
  </si>
  <si>
    <t>900uH</t>
    <phoneticPr fontId="10" type="noConversion"/>
  </si>
  <si>
    <t>UU120</t>
    <phoneticPr fontId="2" type="noConversion"/>
  </si>
  <si>
    <t xml:space="preserve">[PSIH-200XF-LI-V1] </t>
    <phoneticPr fontId="2" type="noConversion"/>
  </si>
  <si>
    <t>LLL00012</t>
    <phoneticPr fontId="10" type="noConversion"/>
  </si>
  <si>
    <t>630uH</t>
    <phoneticPr fontId="10" type="noConversion"/>
  </si>
  <si>
    <t>UU120C</t>
    <phoneticPr fontId="2" type="noConversion"/>
  </si>
  <si>
    <t xml:space="preserve">[PSIH-400XF-LI-V1]  </t>
    <phoneticPr fontId="2" type="noConversion"/>
  </si>
  <si>
    <t>LLL00013</t>
    <phoneticPr fontId="10" type="noConversion"/>
  </si>
  <si>
    <t>375uH</t>
    <phoneticPr fontId="10" type="noConversion"/>
  </si>
  <si>
    <t>I118+I140 조합</t>
    <phoneticPr fontId="2" type="noConversion"/>
  </si>
  <si>
    <t xml:space="preserve">[PSIH-500XF-LI-V2] </t>
    <phoneticPr fontId="2" type="noConversion"/>
  </si>
  <si>
    <t>LLL00051</t>
    <phoneticPr fontId="10" type="noConversion"/>
  </si>
  <si>
    <t>515uH</t>
    <phoneticPr fontId="10" type="noConversion"/>
  </si>
  <si>
    <t>DC 초크 인덕터 설계 시트</t>
    <phoneticPr fontId="2" type="noConversion"/>
  </si>
  <si>
    <t>Pin</t>
    <phoneticPr fontId="2" type="noConversion"/>
  </si>
  <si>
    <t>Vin[V]</t>
    <phoneticPr fontId="2" type="noConversion"/>
  </si>
  <si>
    <t>규소 강판(0.3T적용, 30PNF1600: 포스코 무방향성), Bmax 1.56, 점적율 94.5%</t>
    <phoneticPr fontId="2" type="noConversion"/>
  </si>
  <si>
    <t>Vripple factor</t>
    <phoneticPr fontId="2" type="noConversion"/>
  </si>
  <si>
    <t>a</t>
    <phoneticPr fontId="2" type="noConversion"/>
  </si>
  <si>
    <t xml:space="preserve">권선 파이프 </t>
    <phoneticPr fontId="2" type="noConversion"/>
  </si>
  <si>
    <t>에나멜 각동선 3 x 10mm</t>
    <phoneticPr fontId="2" type="noConversion"/>
  </si>
  <si>
    <t>사용 재료</t>
    <phoneticPr fontId="10" type="noConversion"/>
  </si>
  <si>
    <t>타프피치 동</t>
    <phoneticPr fontId="10" type="noConversion"/>
  </si>
  <si>
    <t>Vaverage</t>
    <phoneticPr fontId="2" type="noConversion"/>
  </si>
  <si>
    <t>b</t>
    <phoneticPr fontId="2" type="noConversion"/>
  </si>
  <si>
    <t>mm</t>
    <phoneticPr fontId="2" type="noConversion"/>
  </si>
  <si>
    <t>권선 단면적</t>
    <phoneticPr fontId="2" type="noConversion"/>
  </si>
  <si>
    <t>mm^2</t>
    <phoneticPr fontId="2" type="noConversion"/>
  </si>
  <si>
    <t>도체 고유전기저항</t>
    <phoneticPr fontId="2" type="noConversion"/>
  </si>
  <si>
    <t>Duty Ratio</t>
    <phoneticPr fontId="2" type="noConversion"/>
  </si>
  <si>
    <t>c</t>
    <phoneticPr fontId="2" type="noConversion"/>
  </si>
  <si>
    <t>층당 권선수</t>
    <phoneticPr fontId="2" type="noConversion"/>
  </si>
  <si>
    <t>도체의 온도저항계수</t>
    <phoneticPr fontId="2" type="noConversion"/>
  </si>
  <si>
    <t>at 20℃</t>
    <phoneticPr fontId="2" type="noConversion"/>
  </si>
  <si>
    <t>Frequency</t>
    <phoneticPr fontId="2" type="noConversion"/>
  </si>
  <si>
    <t>d</t>
    <phoneticPr fontId="2" type="noConversion"/>
  </si>
  <si>
    <t>mm</t>
    <phoneticPr fontId="2" type="noConversion"/>
  </si>
  <si>
    <t xml:space="preserve">권선층 </t>
    <phoneticPr fontId="2" type="noConversion"/>
  </si>
  <si>
    <t>층</t>
    <phoneticPr fontId="2" type="noConversion"/>
  </si>
  <si>
    <t>도체의 온도</t>
    <phoneticPr fontId="2" type="noConversion"/>
  </si>
  <si>
    <t>Ton</t>
    <phoneticPr fontId="2" type="noConversion"/>
  </si>
  <si>
    <t>ms</t>
    <phoneticPr fontId="2" type="noConversion"/>
  </si>
  <si>
    <t>e</t>
    <phoneticPr fontId="2" type="noConversion"/>
  </si>
  <si>
    <t>mm</t>
    <phoneticPr fontId="2" type="noConversion"/>
  </si>
  <si>
    <t>전류 밀도</t>
    <phoneticPr fontId="2" type="noConversion"/>
  </si>
  <si>
    <t>A/mm^2</t>
    <phoneticPr fontId="2" type="noConversion"/>
  </si>
  <si>
    <t>[Ωm×10E-8]</t>
    <phoneticPr fontId="2" type="noConversion"/>
  </si>
  <si>
    <t>Vin,min %</t>
    <phoneticPr fontId="2" type="noConversion"/>
  </si>
  <si>
    <r>
      <t>e</t>
    </r>
    <r>
      <rPr>
        <sz val="11"/>
        <color theme="1"/>
        <rFont val="맑은 고딕"/>
        <family val="2"/>
        <charset val="129"/>
        <scheme val="minor"/>
      </rPr>
      <t>+gap paper</t>
    </r>
    <phoneticPr fontId="2" type="noConversion"/>
  </si>
  <si>
    <t>도체의 산출 전도도</t>
    <phoneticPr fontId="10" type="noConversion"/>
  </si>
  <si>
    <t>[SIMENS/m]</t>
    <phoneticPr fontId="10" type="noConversion"/>
  </si>
  <si>
    <t>Vin,min</t>
    <phoneticPr fontId="2" type="noConversion"/>
  </si>
  <si>
    <t>V</t>
    <phoneticPr fontId="2" type="noConversion"/>
  </si>
  <si>
    <t>측정값 검증</t>
    <phoneticPr fontId="2" type="noConversion"/>
  </si>
  <si>
    <t>비투자율</t>
    <phoneticPr fontId="2" type="noConversion"/>
  </si>
  <si>
    <t>ui</t>
    <phoneticPr fontId="10" type="noConversion"/>
  </si>
  <si>
    <t>Vdc,min</t>
    <phoneticPr fontId="2" type="noConversion"/>
  </si>
  <si>
    <t>점적율</t>
    <phoneticPr fontId="2" type="noConversion"/>
  </si>
  <si>
    <t>%</t>
    <phoneticPr fontId="2" type="noConversion"/>
  </si>
  <si>
    <t>V*Ton</t>
    <phoneticPr fontId="2" type="noConversion"/>
  </si>
  <si>
    <t>V*ms</t>
    <phoneticPr fontId="2" type="noConversion"/>
  </si>
  <si>
    <t>Iin,dc</t>
    <phoneticPr fontId="2" type="noConversion"/>
  </si>
  <si>
    <t>A</t>
    <phoneticPr fontId="2" type="noConversion"/>
  </si>
  <si>
    <t>f</t>
    <phoneticPr fontId="2" type="noConversion"/>
  </si>
  <si>
    <t xml:space="preserve">두께 : 부스바 </t>
    <phoneticPr fontId="2" type="noConversion"/>
  </si>
  <si>
    <t>[mm]</t>
    <phoneticPr fontId="10" type="noConversion"/>
  </si>
  <si>
    <t>Ripple</t>
    <phoneticPr fontId="2" type="noConversion"/>
  </si>
  <si>
    <t xml:space="preserve">고정홀 </t>
    <phoneticPr fontId="2" type="noConversion"/>
  </si>
  <si>
    <r>
      <t>m</t>
    </r>
    <r>
      <rPr>
        <sz val="11"/>
        <color theme="1"/>
        <rFont val="맑은 고딕"/>
        <family val="2"/>
        <charset val="129"/>
        <scheme val="minor"/>
      </rPr>
      <t>m</t>
    </r>
    <phoneticPr fontId="2" type="noConversion"/>
  </si>
  <si>
    <t xml:space="preserve">부스바 폭(너비) </t>
    <phoneticPr fontId="2" type="noConversion"/>
  </si>
  <si>
    <t>Iripple</t>
    <phoneticPr fontId="2" type="noConversion"/>
  </si>
  <si>
    <t>유효단면적</t>
    <phoneticPr fontId="2" type="noConversion"/>
  </si>
  <si>
    <t>cm^2</t>
    <phoneticPr fontId="2" type="noConversion"/>
  </si>
  <si>
    <t>코아 단가</t>
    <phoneticPr fontId="2" type="noConversion"/>
  </si>
  <si>
    <t>[mmSQ]</t>
    <phoneticPr fontId="10" type="noConversion"/>
  </si>
  <si>
    <t>Inductance</t>
    <phoneticPr fontId="2" type="noConversion"/>
  </si>
  <si>
    <t>mH</t>
    <phoneticPr fontId="2" type="noConversion"/>
  </si>
  <si>
    <t>중량</t>
    <phoneticPr fontId="2" type="noConversion"/>
  </si>
  <si>
    <t>Kg</t>
    <phoneticPr fontId="2" type="noConversion"/>
  </si>
  <si>
    <t>만원</t>
    <phoneticPr fontId="2" type="noConversion"/>
  </si>
  <si>
    <t>[A]</t>
    <phoneticPr fontId="2" type="noConversion"/>
  </si>
  <si>
    <t>Frequency Cut Off</t>
    <phoneticPr fontId="2" type="noConversion"/>
  </si>
  <si>
    <t>Hz</t>
    <phoneticPr fontId="2" type="noConversion"/>
  </si>
  <si>
    <t>철손</t>
    <phoneticPr fontId="2" type="noConversion"/>
  </si>
  <si>
    <t>mmSQ당 전류</t>
    <phoneticPr fontId="2" type="noConversion"/>
  </si>
  <si>
    <t>DC Capacitor</t>
    <phoneticPr fontId="2" type="noConversion"/>
  </si>
  <si>
    <t>W</t>
    <phoneticPr fontId="2" type="noConversion"/>
  </si>
  <si>
    <t>W</t>
    <phoneticPr fontId="2" type="noConversion"/>
  </si>
  <si>
    <t>&lt;Cut-off frequency&gt;</t>
    <phoneticPr fontId="1" type="noConversion"/>
  </si>
  <si>
    <t>발열량</t>
    <phoneticPr fontId="2" type="noConversion"/>
  </si>
  <si>
    <t>[W]</t>
    <phoneticPr fontId="2" type="noConversion"/>
  </si>
  <si>
    <t>Saturation Current</t>
    <phoneticPr fontId="2" type="noConversion"/>
  </si>
  <si>
    <t>dc콘덴서</t>
    <phoneticPr fontId="2" type="noConversion"/>
  </si>
  <si>
    <r>
      <t>R</t>
    </r>
    <r>
      <rPr>
        <sz val="11"/>
        <color theme="1"/>
        <rFont val="맑은 고딕"/>
        <family val="2"/>
        <charset val="129"/>
        <scheme val="minor"/>
      </rPr>
      <t>dc</t>
    </r>
    <phoneticPr fontId="2" type="noConversion"/>
  </si>
  <si>
    <r>
      <t>o</t>
    </r>
    <r>
      <rPr>
        <sz val="11"/>
        <color theme="1"/>
        <rFont val="맑은 고딕"/>
        <family val="2"/>
        <charset val="129"/>
        <scheme val="minor"/>
      </rPr>
      <t>hm</t>
    </r>
    <phoneticPr fontId="2" type="noConversion"/>
  </si>
  <si>
    <t>dc인덕터</t>
    <phoneticPr fontId="2" type="noConversion"/>
  </si>
  <si>
    <r>
      <t>Z</t>
    </r>
    <r>
      <rPr>
        <sz val="11"/>
        <color theme="1"/>
        <rFont val="맑은 고딕"/>
        <family val="2"/>
        <charset val="129"/>
        <scheme val="minor"/>
      </rPr>
      <t>c</t>
    </r>
    <phoneticPr fontId="2" type="noConversion"/>
  </si>
  <si>
    <t>cut-off주파수</t>
    <phoneticPr fontId="2" type="noConversion"/>
  </si>
  <si>
    <t>Hz (결과)</t>
    <phoneticPr fontId="2" type="noConversion"/>
  </si>
  <si>
    <t>AP(Area Product)</t>
    <phoneticPr fontId="2" type="noConversion"/>
  </si>
  <si>
    <t>cm^4</t>
    <phoneticPr fontId="2" type="noConversion"/>
  </si>
  <si>
    <t>동손</t>
    <phoneticPr fontId="2" type="noConversion"/>
  </si>
  <si>
    <t>Bmax</t>
    <phoneticPr fontId="2" type="noConversion"/>
  </si>
  <si>
    <t>Tesla</t>
    <phoneticPr fontId="2" type="noConversion"/>
  </si>
  <si>
    <t>MLT(Mean Length of Turn)</t>
    <phoneticPr fontId="2" type="noConversion"/>
  </si>
  <si>
    <t>cm</t>
    <phoneticPr fontId="2" type="noConversion"/>
  </si>
  <si>
    <t>Temperature Rise</t>
    <phoneticPr fontId="2" type="noConversion"/>
  </si>
  <si>
    <t>Ac(Core Area)</t>
    <phoneticPr fontId="2" type="noConversion"/>
  </si>
  <si>
    <t>cm^2</t>
    <phoneticPr fontId="2" type="noConversion"/>
  </si>
  <si>
    <t>Core</t>
    <phoneticPr fontId="2" type="noConversion"/>
  </si>
  <si>
    <t>Silicon</t>
    <phoneticPr fontId="2" type="noConversion"/>
  </si>
  <si>
    <t>Wa(Window Area)</t>
    <phoneticPr fontId="2" type="noConversion"/>
  </si>
  <si>
    <t>손실 합계</t>
    <phoneticPr fontId="2" type="noConversion"/>
  </si>
  <si>
    <t>dc인덕터</t>
    <phoneticPr fontId="2" type="noConversion"/>
  </si>
  <si>
    <t>Core Configuration</t>
    <phoneticPr fontId="2" type="noConversion"/>
  </si>
  <si>
    <t>I core</t>
    <phoneticPr fontId="2" type="noConversion"/>
  </si>
  <si>
    <t>At(Area of Core surface)</t>
    <phoneticPr fontId="2" type="noConversion"/>
  </si>
  <si>
    <t>dB</t>
    <phoneticPr fontId="2" type="noConversion"/>
  </si>
  <si>
    <t>&lt;소선 단가&gt;</t>
    <phoneticPr fontId="1" type="noConversion"/>
  </si>
  <si>
    <t>코아</t>
    <phoneticPr fontId="2" type="noConversion"/>
  </si>
  <si>
    <t>규소 강판</t>
    <phoneticPr fontId="2" type="noConversion"/>
  </si>
  <si>
    <t>G</t>
    <phoneticPr fontId="2" type="noConversion"/>
  </si>
  <si>
    <t>cm</t>
    <phoneticPr fontId="2" type="noConversion"/>
  </si>
  <si>
    <t>손실 비율</t>
    <phoneticPr fontId="2" type="noConversion"/>
  </si>
  <si>
    <t>25파이 2.5t</t>
    <phoneticPr fontId="2" type="noConversion"/>
  </si>
  <si>
    <t>원/m</t>
    <phoneticPr fontId="2" type="noConversion"/>
  </si>
  <si>
    <t>cm^2</t>
    <phoneticPr fontId="2" type="noConversion"/>
  </si>
  <si>
    <t>25파이 3.0t</t>
    <phoneticPr fontId="2" type="noConversion"/>
  </si>
  <si>
    <t>병렬수</t>
    <phoneticPr fontId="2" type="noConversion"/>
  </si>
  <si>
    <t>조</t>
    <phoneticPr fontId="2" type="noConversion"/>
  </si>
  <si>
    <t>nging</t>
    <phoneticPr fontId="2" type="noConversion"/>
  </si>
  <si>
    <t>22파이 2.5t</t>
    <phoneticPr fontId="2" type="noConversion"/>
  </si>
  <si>
    <t>총단면적</t>
    <phoneticPr fontId="2" type="noConversion"/>
  </si>
  <si>
    <t>AP(Area Product) total</t>
    <phoneticPr fontId="2" type="noConversion"/>
  </si>
  <si>
    <t>22파이 3.0t</t>
    <phoneticPr fontId="2" type="noConversion"/>
  </si>
  <si>
    <t>원/m</t>
    <phoneticPr fontId="2" type="noConversion"/>
  </si>
  <si>
    <t>Ac(Core Area) total</t>
    <phoneticPr fontId="2" type="noConversion"/>
  </si>
  <si>
    <t>cm^2</t>
    <phoneticPr fontId="2" type="noConversion"/>
  </si>
  <si>
    <t>권선 단가</t>
    <phoneticPr fontId="2" type="noConversion"/>
  </si>
  <si>
    <t>19파이 2t</t>
    <phoneticPr fontId="2" type="noConversion"/>
  </si>
  <si>
    <t>원/m</t>
    <phoneticPr fontId="2" type="noConversion"/>
  </si>
  <si>
    <t>Minimum turn number</t>
    <phoneticPr fontId="2" type="noConversion"/>
  </si>
  <si>
    <t>MLT(Mean Length Turn total)</t>
    <phoneticPr fontId="2" type="noConversion"/>
  </si>
  <si>
    <t>cm</t>
    <phoneticPr fontId="2" type="noConversion"/>
  </si>
  <si>
    <t>권선길이[m]</t>
    <phoneticPr fontId="2" type="noConversion"/>
  </si>
  <si>
    <t>15.9파이 1.5t</t>
    <phoneticPr fontId="2" type="noConversion"/>
  </si>
  <si>
    <t>Gap</t>
    <phoneticPr fontId="2" type="noConversion"/>
  </si>
  <si>
    <t>cm</t>
    <phoneticPr fontId="2" type="noConversion"/>
  </si>
  <si>
    <t>Wtfe(Core Weight)</t>
    <phoneticPr fontId="2" type="noConversion"/>
  </si>
  <si>
    <t>Kg</t>
    <phoneticPr fontId="2" type="noConversion"/>
  </si>
  <si>
    <t>15.9파이 2t</t>
    <phoneticPr fontId="2" type="noConversion"/>
  </si>
  <si>
    <t>Gap 수</t>
    <phoneticPr fontId="1" type="noConversion"/>
  </si>
  <si>
    <r>
      <t>실제적용 Gap</t>
    </r>
    <r>
      <rPr>
        <sz val="11"/>
        <color theme="1"/>
        <rFont val="맑은 고딕"/>
        <family val="2"/>
        <charset val="129"/>
        <scheme val="minor"/>
      </rPr>
      <t xml:space="preserve"> PAPER</t>
    </r>
    <phoneticPr fontId="2" type="noConversion"/>
  </si>
  <si>
    <t>12.7파이 1.5t</t>
    <phoneticPr fontId="2" type="noConversion"/>
  </si>
  <si>
    <t>Gap Paper</t>
    <phoneticPr fontId="2" type="noConversion"/>
  </si>
  <si>
    <t>mm</t>
    <phoneticPr fontId="2" type="noConversion"/>
  </si>
  <si>
    <t>코아+권선 단가</t>
    <phoneticPr fontId="1" type="noConversion"/>
  </si>
  <si>
    <r>
      <t>12.7파이 1.</t>
    </r>
    <r>
      <rPr>
        <sz val="11"/>
        <color theme="1"/>
        <rFont val="맑은 고딕"/>
        <family val="2"/>
        <charset val="129"/>
        <scheme val="minor"/>
      </rPr>
      <t>1</t>
    </r>
    <r>
      <rPr>
        <sz val="11"/>
        <color theme="1"/>
        <rFont val="맑은 고딕"/>
        <family val="2"/>
        <charset val="129"/>
        <scheme val="minor"/>
      </rPr>
      <t>t</t>
    </r>
    <phoneticPr fontId="2" type="noConversion"/>
  </si>
  <si>
    <t>Gap Paper/코아 길이(소)</t>
    <phoneticPr fontId="2" type="noConversion"/>
  </si>
  <si>
    <t>%</t>
    <phoneticPr fontId="2" type="noConversion"/>
  </si>
  <si>
    <t>만원</t>
    <phoneticPr fontId="2" type="noConversion"/>
  </si>
  <si>
    <t>12.7파이 1t, 코팅</t>
    <phoneticPr fontId="2" type="noConversion"/>
  </si>
  <si>
    <t>계산 L값</t>
    <phoneticPr fontId="2" type="noConversion"/>
  </si>
  <si>
    <t>uH</t>
    <phoneticPr fontId="2" type="noConversion"/>
  </si>
  <si>
    <r>
      <t>9</t>
    </r>
    <r>
      <rPr>
        <sz val="11"/>
        <color theme="1"/>
        <rFont val="맑은 고딕"/>
        <family val="2"/>
        <charset val="129"/>
        <scheme val="minor"/>
      </rPr>
      <t>.5</t>
    </r>
    <r>
      <rPr>
        <sz val="11"/>
        <color theme="1"/>
        <rFont val="맑은 고딕"/>
        <family val="2"/>
        <charset val="129"/>
        <scheme val="minor"/>
      </rPr>
      <t>파이 1t, 코팅</t>
    </r>
    <phoneticPr fontId="2" type="noConversion"/>
  </si>
  <si>
    <t>Fringing Factor</t>
    <phoneticPr fontId="2" type="noConversion"/>
  </si>
  <si>
    <r>
      <t xml:space="preserve">실측 </t>
    </r>
    <r>
      <rPr>
        <sz val="11"/>
        <color theme="1"/>
        <rFont val="맑은 고딕"/>
        <family val="2"/>
        <charset val="129"/>
        <scheme val="minor"/>
      </rPr>
      <t>L값</t>
    </r>
    <phoneticPr fontId="2" type="noConversion"/>
  </si>
  <si>
    <r>
      <t>3</t>
    </r>
    <r>
      <rPr>
        <sz val="11"/>
        <color theme="1"/>
        <rFont val="맑은 고딕"/>
        <family val="2"/>
        <charset val="129"/>
        <scheme val="minor"/>
      </rPr>
      <t xml:space="preserve"> x 10 mm 에나멜 각동선</t>
    </r>
    <phoneticPr fontId="2" type="noConversion"/>
  </si>
  <si>
    <t>예상 L</t>
    <phoneticPr fontId="2" type="noConversion"/>
  </si>
  <si>
    <t>uH</t>
    <phoneticPr fontId="2" type="noConversion"/>
  </si>
  <si>
    <r>
      <t>2</t>
    </r>
    <r>
      <rPr>
        <sz val="11"/>
        <color theme="1"/>
        <rFont val="맑은 고딕"/>
        <family val="2"/>
        <charset val="129"/>
        <scheme val="minor"/>
      </rPr>
      <t>122uH 정도</t>
    </r>
    <phoneticPr fontId="2" type="noConversion"/>
  </si>
  <si>
    <t>권선폭</t>
    <phoneticPr fontId="2" type="noConversion"/>
  </si>
  <si>
    <t>mm</t>
    <phoneticPr fontId="2" type="noConversion"/>
  </si>
  <si>
    <t>권선두께</t>
    <phoneticPr fontId="2" type="noConversion"/>
  </si>
  <si>
    <t>권선 단면적</t>
    <phoneticPr fontId="2" type="noConversion"/>
  </si>
  <si>
    <t>권선수</t>
    <phoneticPr fontId="2" type="noConversion"/>
  </si>
  <si>
    <t>절연층두께</t>
    <phoneticPr fontId="2" type="noConversion"/>
  </si>
  <si>
    <t>권선고</t>
    <phoneticPr fontId="2" type="noConversion"/>
  </si>
  <si>
    <t>권선면적</t>
    <phoneticPr fontId="2" type="noConversion"/>
  </si>
  <si>
    <t>cm^2</t>
    <phoneticPr fontId="2" type="noConversion"/>
  </si>
  <si>
    <t>창이용율</t>
    <phoneticPr fontId="2" type="noConversion"/>
  </si>
  <si>
    <t>FULL Bridge=4, Half Bridge=2</t>
    <phoneticPr fontId="1" type="noConversion"/>
  </si>
  <si>
    <t>병렬</t>
    <phoneticPr fontId="1" type="noConversion"/>
  </si>
  <si>
    <t>Loss / FET : 소자 1ea 기준</t>
    <phoneticPr fontId="1" type="noConversion"/>
  </si>
  <si>
    <t>Ip_RMS_공진 L 1EA기준</t>
    <phoneticPr fontId="1" type="noConversion"/>
  </si>
  <si>
    <t>V_Lr_RMS_공진 L 1EA기준</t>
    <phoneticPr fontId="1" type="noConversion"/>
  </si>
  <si>
    <t>V_Lr_AVG_공진 L 1EA기준</t>
    <phoneticPr fontId="1" type="noConversion"/>
  </si>
  <si>
    <t>인덕터의 포화전류: Ipeak*Bsat/(dB/2)</t>
    <phoneticPr fontId="1" type="noConversion"/>
  </si>
  <si>
    <t>사용 코아 (EE5555A_PM7재질)</t>
    <phoneticPr fontId="2" type="noConversion"/>
  </si>
  <si>
    <t>Fringing Effect를 고려한 L값이 필요한 1 Inductor L값이 되도록 갭조정함</t>
    <phoneticPr fontId="1" type="noConversion"/>
  </si>
  <si>
    <t>인덕터 관련 CORE dB 추가</t>
    <phoneticPr fontId="1" type="noConversion"/>
  </si>
  <si>
    <t>사용할 코어의 포화자속밀도(EE5555A_PM7재질)</t>
    <phoneticPr fontId="1" type="noConversion"/>
  </si>
  <si>
    <t>Output Capacitor per Module</t>
    <phoneticPr fontId="1" type="noConversion"/>
  </si>
  <si>
    <t>Ip_RMS_Total</t>
    <phoneticPr fontId="1" type="noConversion"/>
  </si>
  <si>
    <t>자속밀도 스윙폭 -&gt; 코아 발열이 심하면 작게, 코아 재질에 따라 달라짐 (100kHz: 0.15 전후, 50kHz: 0.25 전후, 25kHz: 0.5)</t>
    <phoneticPr fontId="2" type="noConversion"/>
  </si>
  <si>
    <t>전류밀도 -&gt; 코일 발열이 심하면 작게 (작은 코어: 5A/mm^2, 큰 코어: 2A/mm^2)</t>
    <phoneticPr fontId="2" type="noConversion"/>
  </si>
  <si>
    <t>Ros_트랜스포머 2차 권선 1OUT 기준</t>
    <phoneticPr fontId="2" type="noConversion"/>
  </si>
  <si>
    <t>L leakage_단위모듈 기준</t>
    <phoneticPr fontId="1" type="noConversion"/>
  </si>
  <si>
    <t>Rop_단위모듈 기준</t>
    <phoneticPr fontId="2" type="noConversion"/>
  </si>
  <si>
    <t>V_Lr_RMS_단위모듈 기준</t>
    <phoneticPr fontId="2" type="noConversion"/>
  </si>
  <si>
    <t>V_Lr_AVG_단위모듈 기준</t>
    <phoneticPr fontId="2" type="noConversion"/>
  </si>
  <si>
    <t>Ip_RMS_단위모듈 기준</t>
    <phoneticPr fontId="2" type="noConversion"/>
  </si>
  <si>
    <t>Z_Lr_단위모듈 기준</t>
    <phoneticPr fontId="2" type="noConversion"/>
  </si>
  <si>
    <t>Output Inductor per total</t>
    <phoneticPr fontId="1" type="noConversion"/>
  </si>
  <si>
    <t>Output Inductor_단위모듈 기준</t>
    <phoneticPr fontId="1" type="noConversion"/>
  </si>
  <si>
    <t>Stored Energy in Inductor_단위모듈 기준</t>
    <phoneticPr fontId="1" type="noConversion"/>
  </si>
  <si>
    <t>공진인덕터 병렬 연결 수</t>
    <phoneticPr fontId="1" type="noConversion"/>
  </si>
  <si>
    <t>G</t>
    <phoneticPr fontId="1" type="noConversion"/>
  </si>
  <si>
    <t>공진 L, C 결정</t>
    <phoneticPr fontId="1" type="noConversion"/>
  </si>
  <si>
    <t>Balance Capcacitor 계산</t>
    <phoneticPr fontId="1" type="noConversion"/>
  </si>
  <si>
    <t>공진 인덕터 설계</t>
    <phoneticPr fontId="1" type="noConversion"/>
  </si>
  <si>
    <t>SiC FET 선택</t>
    <phoneticPr fontId="1" type="noConversion"/>
  </si>
  <si>
    <t xml:space="preserve">Out Filter </t>
    <phoneticPr fontId="1" type="noConversion"/>
  </si>
  <si>
    <t>메인 승압 트랜스포머 설계</t>
    <phoneticPr fontId="1" type="noConversion"/>
  </si>
  <si>
    <t>L_Fringing Effect 고려</t>
    <phoneticPr fontId="2" type="noConversion"/>
  </si>
  <si>
    <t>일반 정류=1, 배압정류=2</t>
    <phoneticPr fontId="1" type="noConversion"/>
  </si>
  <si>
    <t>배압정류(INPUT)</t>
    <phoneticPr fontId="1" type="noConversion"/>
  </si>
  <si>
    <t>ON POLE</t>
    <phoneticPr fontId="2" type="noConversion"/>
  </si>
  <si>
    <t>OFF POLE</t>
    <phoneticPr fontId="2" type="noConversion"/>
  </si>
  <si>
    <t>비고</t>
    <phoneticPr fontId="2" type="noConversion"/>
  </si>
  <si>
    <t>IGBT IC RMS전류</t>
    <phoneticPr fontId="2" type="noConversion"/>
  </si>
  <si>
    <t>A</t>
    <phoneticPr fontId="2" type="noConversion"/>
  </si>
  <si>
    <t>파형 및 LCD 확인</t>
    <phoneticPr fontId="2" type="noConversion"/>
  </si>
  <si>
    <t>Gate 구동 손실</t>
    <phoneticPr fontId="2" type="noConversion"/>
  </si>
  <si>
    <t>Total Gate Charge</t>
    <phoneticPr fontId="2" type="noConversion"/>
  </si>
  <si>
    <t>uC</t>
    <phoneticPr fontId="2" type="noConversion"/>
  </si>
  <si>
    <t>DATA SHEET 확인</t>
    <phoneticPr fontId="2" type="noConversion"/>
  </si>
  <si>
    <t>게이트 전압</t>
    <phoneticPr fontId="2" type="noConversion"/>
  </si>
  <si>
    <t>V</t>
    <phoneticPr fontId="2" type="noConversion"/>
  </si>
  <si>
    <t>게이트드라이버 전위차(예를 들어 +15V,-10V 일때는 25V)</t>
    <phoneticPr fontId="2" type="noConversion"/>
  </si>
  <si>
    <t>게이트 구동손실</t>
    <phoneticPr fontId="2" type="noConversion"/>
  </si>
  <si>
    <t>Switching Loss</t>
    <phoneticPr fontId="2" type="noConversion"/>
  </si>
  <si>
    <t>Switching Frequency</t>
    <phoneticPr fontId="2" type="noConversion"/>
  </si>
  <si>
    <t>kHz</t>
    <phoneticPr fontId="2" type="noConversion"/>
  </si>
  <si>
    <t>파형 및 LCD 확인</t>
    <phoneticPr fontId="2" type="noConversion"/>
  </si>
  <si>
    <t>Switching Current</t>
    <phoneticPr fontId="2" type="noConversion"/>
  </si>
  <si>
    <t>A</t>
    <phoneticPr fontId="2" type="noConversion"/>
  </si>
  <si>
    <t>파형확인 (스위칭 하는 순간의 순시전류값, RMS 값과는 다름)</t>
    <phoneticPr fontId="2" type="noConversion"/>
  </si>
  <si>
    <t>Off Switching Energy</t>
    <phoneticPr fontId="2" type="noConversion"/>
  </si>
  <si>
    <t>mJ</t>
    <phoneticPr fontId="2" type="noConversion"/>
  </si>
  <si>
    <t>DATA SHEET 확인(Switching Current 에 해당하는 Off Switching Energy)</t>
    <phoneticPr fontId="2" type="noConversion"/>
  </si>
  <si>
    <t>On Switching Energy(ZVS)</t>
    <phoneticPr fontId="2" type="noConversion"/>
  </si>
  <si>
    <t>Diode 역방향 회복 Energy(ZVS)</t>
    <phoneticPr fontId="2" type="noConversion"/>
  </si>
  <si>
    <t>IGBT Switching Loss/Device</t>
    <phoneticPr fontId="2" type="noConversion"/>
  </si>
  <si>
    <t>W</t>
    <phoneticPr fontId="2" type="noConversion"/>
  </si>
  <si>
    <t>Diode 역방향 회복 손실(ZVS)</t>
    <phoneticPr fontId="2" type="noConversion"/>
  </si>
  <si>
    <t>스너버 손실 비율</t>
  </si>
  <si>
    <t>%</t>
    <phoneticPr fontId="2" type="noConversion"/>
  </si>
  <si>
    <t>스너버 없으면 100%, 스너버 최소 손실비율(55% 감소)</t>
    <phoneticPr fontId="2" type="noConversion"/>
  </si>
  <si>
    <t>IGBT Switching Loss/Device_스너버손실비율 포함</t>
    <phoneticPr fontId="2" type="noConversion"/>
  </si>
  <si>
    <t>Conduction Loss</t>
    <phoneticPr fontId="2" type="noConversion"/>
  </si>
  <si>
    <t>IC 평균전류</t>
    <phoneticPr fontId="2" type="noConversion"/>
  </si>
  <si>
    <t>IGBT VCE Saturation</t>
    <phoneticPr fontId="2" type="noConversion"/>
  </si>
  <si>
    <t>VDC</t>
    <phoneticPr fontId="2" type="noConversion"/>
  </si>
  <si>
    <t>DATA SHEET 확인(IC 평균전류에 해당하는 Vce saturation 확인)</t>
    <phoneticPr fontId="2" type="noConversion"/>
  </si>
  <si>
    <t>Diode Vf</t>
    <phoneticPr fontId="2" type="noConversion"/>
  </si>
  <si>
    <t>DATA SHEET 확인(IC 평균전류에 해당하는 Diode Vf 확인)</t>
    <phoneticPr fontId="2" type="noConversion"/>
  </si>
  <si>
    <t>Duty</t>
    <phoneticPr fontId="2" type="noConversion"/>
  </si>
  <si>
    <t>PAM,PFM은 100%</t>
    <phoneticPr fontId="2" type="noConversion"/>
  </si>
  <si>
    <t>위상지연각</t>
    <phoneticPr fontId="2" type="noConversion"/>
  </si>
  <si>
    <t>°</t>
    <phoneticPr fontId="2" type="noConversion"/>
  </si>
  <si>
    <t>파형 및 LCD 확인</t>
    <phoneticPr fontId="2" type="noConversion"/>
  </si>
  <si>
    <t>IGBT Conduction Loss</t>
    <phoneticPr fontId="2" type="noConversion"/>
  </si>
  <si>
    <t>Diode Conduction Loss</t>
    <phoneticPr fontId="2" type="noConversion"/>
  </si>
  <si>
    <t>Conduction Loss/Device</t>
    <phoneticPr fontId="2" type="noConversion"/>
  </si>
  <si>
    <t>Total loss</t>
    <phoneticPr fontId="2" type="noConversion"/>
  </si>
  <si>
    <t>IGBT Loss</t>
    <phoneticPr fontId="2" type="noConversion"/>
  </si>
  <si>
    <t>Diode Loss</t>
    <phoneticPr fontId="2" type="noConversion"/>
  </si>
  <si>
    <t>Loss/Module</t>
    <phoneticPr fontId="2" type="noConversion"/>
  </si>
  <si>
    <t>모듈 Package 당 IGBT(switching device)수량</t>
    <phoneticPr fontId="2" type="noConversion"/>
  </si>
  <si>
    <t>SINGLE 모듈: 1, DUAL 모듈: 2</t>
    <phoneticPr fontId="2" type="noConversion"/>
  </si>
  <si>
    <t>Total Solid Device Loss</t>
    <phoneticPr fontId="2" type="noConversion"/>
  </si>
  <si>
    <t>W MAX</t>
    <phoneticPr fontId="2" type="noConversion"/>
  </si>
  <si>
    <t>손실율</t>
    <phoneticPr fontId="2" type="noConversion"/>
  </si>
  <si>
    <t>Ptot / IGBT CASE</t>
    <phoneticPr fontId="2" type="noConversion"/>
  </si>
  <si>
    <t>DATA SHEET 확인</t>
    <phoneticPr fontId="2" type="noConversion"/>
  </si>
  <si>
    <t xml:space="preserve">Loss % </t>
    <phoneticPr fontId="2" type="noConversion"/>
  </si>
  <si>
    <t>IGBT Case 온도</t>
    <phoneticPr fontId="2" type="noConversion"/>
  </si>
  <si>
    <t>열저항(Junction-Case)-IGBT</t>
    <phoneticPr fontId="2" type="noConversion"/>
  </si>
  <si>
    <t>K/W</t>
    <phoneticPr fontId="2" type="noConversion"/>
  </si>
  <si>
    <t>열저항(Junction-Case)-Diode</t>
    <phoneticPr fontId="2" type="noConversion"/>
  </si>
  <si>
    <t>Case온도(IGBT,Tj=125℃기준)</t>
    <phoneticPr fontId="2" type="noConversion"/>
  </si>
  <si>
    <t>℃</t>
    <phoneticPr fontId="2" type="noConversion"/>
  </si>
  <si>
    <t>표기된 온도 이상은 사용 불가</t>
    <phoneticPr fontId="2" type="noConversion"/>
  </si>
  <si>
    <t>Case온도(Diode,Tj=125℃기준)</t>
    <phoneticPr fontId="2" type="noConversion"/>
  </si>
  <si>
    <t>Case온도- IGBT  온도차</t>
    <phoneticPr fontId="2" type="noConversion"/>
  </si>
  <si>
    <t>Case온도- Diode 온도차</t>
    <phoneticPr fontId="2" type="noConversion"/>
  </si>
  <si>
    <t>Heatsink 온도</t>
    <phoneticPr fontId="2" type="noConversion"/>
  </si>
  <si>
    <t>열저항(Case-Heatsink)-IGBT(lPaste = 1 W/(m·K)기준)</t>
    <phoneticPr fontId="2" type="noConversion"/>
  </si>
  <si>
    <t>열저항(Case-Heatsink)-Diode(lPaste = 1 W/(m·K)기준)</t>
    <phoneticPr fontId="2" type="noConversion"/>
  </si>
  <si>
    <t>Heatsink온도-IGBT바닥면 중심</t>
    <phoneticPr fontId="2" type="noConversion"/>
  </si>
  <si>
    <t>Heatsink온도-Diode바닥면 중심</t>
    <phoneticPr fontId="2" type="noConversion"/>
  </si>
  <si>
    <t>Heatsink온도-케이스간 온도차-IGBT</t>
    <phoneticPr fontId="2" type="noConversion"/>
  </si>
  <si>
    <t>Heatsink온도-케이스간 온도차-Diode</t>
    <phoneticPr fontId="2" type="noConversion"/>
  </si>
  <si>
    <t>냉각수 온도</t>
    <phoneticPr fontId="2" type="noConversion"/>
  </si>
  <si>
    <t>냉각수 출수 온도</t>
    <phoneticPr fontId="2" type="noConversion"/>
  </si>
  <si>
    <t>수냉방열판과의 열저항의 기준이 없어 60℃를 기준으로함</t>
    <phoneticPr fontId="2" type="noConversion"/>
  </si>
  <si>
    <t>냉각수 유량</t>
    <phoneticPr fontId="2" type="noConversion"/>
  </si>
  <si>
    <t>lpm</t>
    <phoneticPr fontId="2" type="noConversion"/>
  </si>
  <si>
    <t>유량</t>
    <phoneticPr fontId="2" type="noConversion"/>
  </si>
  <si>
    <t>냉각수 입수 온도 최대</t>
    <phoneticPr fontId="2" type="noConversion"/>
  </si>
  <si>
    <t>공진 L 최소 턴수</t>
    <phoneticPr fontId="2" type="noConversion"/>
  </si>
  <si>
    <t>SKM100GB</t>
    <phoneticPr fontId="2" type="noConversion"/>
  </si>
  <si>
    <t>적용 출력 인덕터 보드</t>
    <phoneticPr fontId="1" type="noConversion"/>
  </si>
  <si>
    <t>Output Inductor per 1ea</t>
    <phoneticPr fontId="1" type="noConversion"/>
  </si>
  <si>
    <t>Zc</t>
    <phoneticPr fontId="1" type="noConversion"/>
  </si>
  <si>
    <t>kV</t>
    <phoneticPr fontId="1" type="noConversion"/>
  </si>
  <si>
    <t>출력전압</t>
    <phoneticPr fontId="1" type="noConversion"/>
  </si>
  <si>
    <t>출력전류</t>
    <phoneticPr fontId="1" type="noConversion"/>
  </si>
  <si>
    <t>mA</t>
    <phoneticPr fontId="1" type="noConversion"/>
  </si>
  <si>
    <t>출력전력</t>
    <phoneticPr fontId="1" type="noConversion"/>
  </si>
  <si>
    <t>Vin (-)%</t>
    <phoneticPr fontId="1" type="noConversion"/>
  </si>
  <si>
    <t>%</t>
    <phoneticPr fontId="1" type="noConversion"/>
  </si>
  <si>
    <t>Vin,ac,min</t>
    <phoneticPr fontId="1" type="noConversion"/>
  </si>
  <si>
    <t>트랜스 직렬수</t>
    <phoneticPr fontId="2" type="noConversion"/>
  </si>
  <si>
    <t>DC Cap이 작은 필름 cap = 1, DC Cap이 큰 전해 cap = 2</t>
    <phoneticPr fontId="1" type="noConversion"/>
  </si>
  <si>
    <t>Vin,dc,min</t>
    <phoneticPr fontId="2" type="noConversion"/>
  </si>
  <si>
    <t>TRANS당 Vin,dc,min</t>
    <phoneticPr fontId="1" type="noConversion"/>
  </si>
  <si>
    <t>트랜스포머당 DC 입력전압 최소값</t>
    <phoneticPr fontId="1" type="noConversion"/>
  </si>
  <si>
    <t>트랜스포머 2차권선 전압</t>
    <phoneticPr fontId="2" type="noConversion"/>
  </si>
  <si>
    <t>us</t>
    <phoneticPr fontId="1" type="noConversion"/>
  </si>
  <si>
    <t>사용 코아(UTV7290_PM5 재질)</t>
    <phoneticPr fontId="2" type="noConversion"/>
  </si>
  <si>
    <t>cm^2</t>
    <phoneticPr fontId="1" type="noConversion"/>
  </si>
  <si>
    <t>Tesla</t>
    <phoneticPr fontId="1" type="noConversion"/>
  </si>
  <si>
    <t>HB/FB</t>
    <phoneticPr fontId="2" type="noConversion"/>
  </si>
  <si>
    <t>1: FB, 2: HB</t>
    <phoneticPr fontId="2" type="noConversion"/>
  </si>
  <si>
    <t>n_Act</t>
    <phoneticPr fontId="2" type="noConversion"/>
  </si>
  <si>
    <t>적용할 권선비 n_HB_10%보다 작게 결정</t>
    <phoneticPr fontId="2" type="noConversion"/>
  </si>
  <si>
    <t>실제 적용할 권선</t>
    <phoneticPr fontId="2" type="noConversion"/>
  </si>
  <si>
    <t>실제로 1-2차 권선을 감았을 때 최대 이차 전압</t>
    <phoneticPr fontId="2" type="noConversion"/>
  </si>
  <si>
    <t>Balance Current %</t>
    <phoneticPr fontId="1" type="noConversion"/>
  </si>
  <si>
    <t>Balance Current</t>
    <phoneticPr fontId="1" type="noConversion"/>
  </si>
  <si>
    <t>ohm</t>
    <phoneticPr fontId="1" type="noConversion"/>
  </si>
  <si>
    <t>Balance Capacitor</t>
    <phoneticPr fontId="1" type="noConversion"/>
  </si>
  <si>
    <t>pF</t>
    <phoneticPr fontId="1" type="noConversion"/>
  </si>
  <si>
    <t>트랜스포머 1,2차 전류 계산</t>
    <phoneticPr fontId="1" type="noConversion"/>
  </si>
  <si>
    <t>I secondary  avg</t>
    <phoneticPr fontId="2" type="noConversion"/>
  </si>
  <si>
    <t>mm^2</t>
    <phoneticPr fontId="1" type="noConversion"/>
  </si>
  <si>
    <t xml:space="preserve">Ip_RMS_단위모듈 기준 </t>
    <phoneticPr fontId="2" type="noConversion"/>
  </si>
  <si>
    <t>2차권선에서 봤을 때</t>
    <phoneticPr fontId="1" type="noConversion"/>
  </si>
  <si>
    <t>1차권선을 모두 직렬했을 때</t>
    <phoneticPr fontId="1" type="noConversion"/>
  </si>
  <si>
    <t>Quality Factor 결정</t>
    <phoneticPr fontId="1" type="noConversion"/>
  </si>
  <si>
    <t>fr</t>
    <phoneticPr fontId="2" type="noConversion"/>
  </si>
  <si>
    <t>최소 스위칭 주파수보다 10% 낮게</t>
    <phoneticPr fontId="1" type="noConversion"/>
  </si>
  <si>
    <t>Cr</t>
    <phoneticPr fontId="2" type="noConversion"/>
  </si>
  <si>
    <t>uF</t>
    <phoneticPr fontId="1" type="noConversion"/>
  </si>
  <si>
    <t>누설 인덕턴스: 2차를 모두 단락한 상태에서 측정한 1차 L값</t>
    <phoneticPr fontId="1" type="noConversion"/>
  </si>
  <si>
    <t>L add_단위모듈 기준</t>
    <phoneticPr fontId="1" type="noConversion"/>
  </si>
  <si>
    <t>병렬 연결할 인덕터 개수</t>
    <phoneticPr fontId="1" type="noConversion"/>
  </si>
  <si>
    <t>Z_Lr_공진 L 1EA기준</t>
    <phoneticPr fontId="2" type="noConversion"/>
  </si>
  <si>
    <t>1 Inductor Ipeak</t>
    <phoneticPr fontId="1" type="noConversion"/>
  </si>
  <si>
    <t>1차 전류가 사인파로 가정했을 때의 피크 전류</t>
    <phoneticPr fontId="1" type="noConversion"/>
  </si>
  <si>
    <t>1 Inductor Isat</t>
    <phoneticPr fontId="1" type="noConversion"/>
  </si>
  <si>
    <t>1 Inductor L</t>
    <phoneticPr fontId="1" type="noConversion"/>
  </si>
  <si>
    <t>mm</t>
    <phoneticPr fontId="1" type="noConversion"/>
  </si>
  <si>
    <r>
      <t xml:space="preserve">공진 L값이 나오도록 맞춤, lgap = 0.4 * </t>
    </r>
    <r>
      <rPr>
        <sz val="11"/>
        <color theme="1"/>
        <rFont val="맑은 고딕"/>
        <family val="3"/>
        <charset val="129"/>
      </rPr>
      <t>π</t>
    </r>
    <r>
      <rPr>
        <sz val="11"/>
        <color theme="1"/>
        <rFont val="맑은 고딕"/>
        <family val="2"/>
        <charset val="129"/>
      </rPr>
      <t xml:space="preserve"> * N^2 * Ae * 10^-8 / L</t>
    </r>
    <phoneticPr fontId="2" type="noConversion"/>
  </si>
  <si>
    <t>계산한 갭의 절반, E형 코어의 경우 갭이 두곳으로 분산되기 때문</t>
    <phoneticPr fontId="1" type="noConversion"/>
  </si>
  <si>
    <t>Gap paper Act.</t>
    <phoneticPr fontId="1" type="noConversion"/>
  </si>
  <si>
    <t>갭 결정</t>
    <phoneticPr fontId="1" type="noConversion"/>
  </si>
  <si>
    <t>코어 Isat</t>
    <phoneticPr fontId="1" type="noConversion"/>
  </si>
  <si>
    <t>검증을 위한 계산 1 Inductor Isat과 거의 같아야함</t>
    <phoneticPr fontId="1" type="noConversion"/>
  </si>
  <si>
    <t>L</t>
    <phoneticPr fontId="1" type="noConversion"/>
  </si>
  <si>
    <t>검증을 위한 재계산,   L = 0.4 * π * N^2 * Ae * 10^-8 / lgap, 1 Inductor L과 거의 같아야 함(Fringing Effect를 고려한 L값으로 변경)</t>
    <phoneticPr fontId="1" type="noConversion"/>
  </si>
  <si>
    <t>코어 단면의 가장 좁은 폭</t>
    <phoneticPr fontId="1" type="noConversion"/>
  </si>
  <si>
    <t>코어 중족의 길이</t>
    <phoneticPr fontId="1" type="noConversion"/>
  </si>
  <si>
    <t>프린징 효과 계산</t>
    <phoneticPr fontId="1" type="noConversion"/>
  </si>
  <si>
    <t>Snubber 계산</t>
    <phoneticPr fontId="1" type="noConversion"/>
  </si>
  <si>
    <t>Switch Current</t>
    <phoneticPr fontId="2" type="noConversion"/>
  </si>
  <si>
    <t>ns</t>
    <phoneticPr fontId="1" type="noConversion"/>
  </si>
  <si>
    <t>Vdc</t>
    <phoneticPr fontId="2" type="noConversion"/>
  </si>
  <si>
    <t>Vdc</t>
    <phoneticPr fontId="1" type="noConversion"/>
  </si>
  <si>
    <t>C snubber</t>
    <phoneticPr fontId="2" type="noConversion"/>
  </si>
  <si>
    <t>nf</t>
    <phoneticPr fontId="1" type="noConversion"/>
  </si>
  <si>
    <t>이 값의 절반을 FET 양단에 연결해야함.</t>
    <phoneticPr fontId="1" type="noConversion"/>
  </si>
  <si>
    <t>Rdson</t>
    <phoneticPr fontId="1" type="noConversion"/>
  </si>
  <si>
    <t>Tj=25C에서의 FET의 Rdson</t>
    <phoneticPr fontId="1" type="noConversion"/>
  </si>
  <si>
    <t>Rdson at 125C</t>
    <phoneticPr fontId="1" type="noConversion"/>
  </si>
  <si>
    <t>Total Rdson</t>
    <phoneticPr fontId="1" type="noConversion"/>
  </si>
  <si>
    <t>W</t>
    <phoneticPr fontId="1" type="noConversion"/>
  </si>
  <si>
    <t>Conduction Loss_단위모듈 기준</t>
    <phoneticPr fontId="1" type="noConversion"/>
  </si>
  <si>
    <t>Switching Energy</t>
    <phoneticPr fontId="1" type="noConversion"/>
  </si>
  <si>
    <t>mJ</t>
    <phoneticPr fontId="1" type="noConversion"/>
  </si>
  <si>
    <t>data sheet 상에 있는 기준(전류크기에 대한 그래프는 없기 때문에 기준 전류만 가지고 판단)</t>
    <phoneticPr fontId="1" type="noConversion"/>
  </si>
  <si>
    <t>Switching Loss_소자 1ea기준</t>
    <phoneticPr fontId="1" type="noConversion"/>
  </si>
  <si>
    <t>Total Switching Loss_단위모듈 기준</t>
    <phoneticPr fontId="1" type="noConversion"/>
  </si>
  <si>
    <t>Total Loss_단위모듈 기준</t>
    <phoneticPr fontId="1" type="noConversion"/>
  </si>
  <si>
    <t>발열로 인한 온도상승</t>
    <phoneticPr fontId="1" type="noConversion"/>
  </si>
  <si>
    <t>Total Power Dissipation</t>
    <phoneticPr fontId="1" type="noConversion"/>
  </si>
  <si>
    <t>nF</t>
    <phoneticPr fontId="1" type="noConversion"/>
  </si>
  <si>
    <t>Joule</t>
    <phoneticPr fontId="1" type="noConversion"/>
  </si>
  <si>
    <t>mH</t>
    <phoneticPr fontId="1" type="noConversion"/>
  </si>
  <si>
    <t>직렬</t>
    <phoneticPr fontId="1" type="noConversion"/>
  </si>
  <si>
    <t>Total Stored Energy_단위모듈 기준</t>
    <phoneticPr fontId="1" type="noConversion"/>
  </si>
  <si>
    <t>공진인덕터 직렬 연결 수</t>
    <phoneticPr fontId="1" type="noConversion"/>
  </si>
  <si>
    <t>223 1kV X7R 2병렬 2직렬</t>
    <phoneticPr fontId="1" type="noConversion"/>
  </si>
  <si>
    <t>실제 적용 Cr</t>
    <phoneticPr fontId="1" type="noConversion"/>
  </si>
  <si>
    <t>Vrms_Cr</t>
    <phoneticPr fontId="1" type="noConversion"/>
  </si>
  <si>
    <t xml:space="preserve">Ton </t>
    <phoneticPr fontId="2" type="noConversion"/>
  </si>
  <si>
    <t>usec</t>
    <phoneticPr fontId="2" type="noConversion"/>
  </si>
  <si>
    <t>2차기준</t>
    <phoneticPr fontId="1" type="noConversion"/>
  </si>
  <si>
    <t>1차기준</t>
    <phoneticPr fontId="1" type="noConversion"/>
  </si>
  <si>
    <t>2차기준(19200V)</t>
    <phoneticPr fontId="1" type="noConversion"/>
  </si>
  <si>
    <t>Vo</t>
    <phoneticPr fontId="1" type="noConversion"/>
  </si>
  <si>
    <t>kV</t>
    <phoneticPr fontId="1" type="noConversion"/>
  </si>
  <si>
    <t>모듈수</t>
    <phoneticPr fontId="1" type="noConversion"/>
  </si>
  <si>
    <t>병렬</t>
    <phoneticPr fontId="1" type="noConversion"/>
  </si>
  <si>
    <t>N+X System</t>
    <phoneticPr fontId="1" type="noConversion"/>
  </si>
  <si>
    <t>출력전압</t>
    <phoneticPr fontId="1" type="noConversion"/>
  </si>
  <si>
    <t>kW</t>
    <phoneticPr fontId="1" type="noConversion"/>
  </si>
  <si>
    <t>Vin</t>
    <phoneticPr fontId="1" type="noConversion"/>
  </si>
  <si>
    <t>V</t>
    <phoneticPr fontId="1" type="noConversion"/>
  </si>
  <si>
    <t>Vin (-)%</t>
    <phoneticPr fontId="1" type="noConversion"/>
  </si>
  <si>
    <t>%</t>
    <phoneticPr fontId="1" type="noConversion"/>
  </si>
  <si>
    <t>Vin,ac,min</t>
    <phoneticPr fontId="1" type="noConversion"/>
  </si>
  <si>
    <t>Efficiency</t>
    <phoneticPr fontId="1" type="noConversion"/>
  </si>
  <si>
    <t>%</t>
    <phoneticPr fontId="1" type="noConversion"/>
  </si>
  <si>
    <t>입력전력</t>
    <phoneticPr fontId="1" type="noConversion"/>
  </si>
  <si>
    <t>kW</t>
    <phoneticPr fontId="1" type="noConversion"/>
  </si>
  <si>
    <t>최대 입력전류</t>
    <phoneticPr fontId="1" type="noConversion"/>
  </si>
  <si>
    <t>A</t>
    <phoneticPr fontId="1" type="noConversion"/>
  </si>
  <si>
    <t>퓨즈 용량 여유</t>
    <phoneticPr fontId="1" type="noConversion"/>
  </si>
  <si>
    <t>퓨즈 용량</t>
    <phoneticPr fontId="1" type="noConversion"/>
  </si>
  <si>
    <t>A</t>
    <phoneticPr fontId="1" type="noConversion"/>
  </si>
  <si>
    <t>실제 퓨즈 용량</t>
    <phoneticPr fontId="1" type="noConversion"/>
  </si>
  <si>
    <t>최대 DC전류</t>
    <phoneticPr fontId="1" type="noConversion"/>
  </si>
  <si>
    <t>TRANS당 병렬수</t>
    <phoneticPr fontId="1" type="noConversion"/>
  </si>
  <si>
    <t>개</t>
    <phoneticPr fontId="1" type="noConversion"/>
  </si>
  <si>
    <t>전파정류/배압정류</t>
    <phoneticPr fontId="1" type="noConversion"/>
  </si>
  <si>
    <t>1: 전파정류  2:배압정류</t>
    <phoneticPr fontId="1" type="noConversion"/>
  </si>
  <si>
    <t>trans 1차 직렬수</t>
    <phoneticPr fontId="1" type="noConversion"/>
  </si>
  <si>
    <t>권선 1개의 출력전력</t>
    <phoneticPr fontId="1" type="noConversion"/>
  </si>
  <si>
    <t>Vin,ac</t>
    <phoneticPr fontId="1" type="noConversion"/>
  </si>
  <si>
    <t>Vin,dc</t>
    <phoneticPr fontId="1" type="noConversion"/>
  </si>
  <si>
    <t>트랜스포머 2차권선 1개의 전압</t>
    <phoneticPr fontId="2" type="noConversion"/>
  </si>
  <si>
    <t>cm^2</t>
    <phoneticPr fontId="1" type="noConversion"/>
  </si>
  <si>
    <t>일이차 전압이 같아지는 권선비</t>
    <phoneticPr fontId="2" type="noConversion"/>
  </si>
  <si>
    <t>Vo max_트랜스포머 1out 기준_Vdc min기준</t>
    <phoneticPr fontId="2" type="noConversion"/>
  </si>
  <si>
    <t>Vo max_트랜스포머 1out 기준_Vdc기준</t>
    <phoneticPr fontId="2" type="noConversion"/>
  </si>
  <si>
    <t>실제 출력 가능 전압 계산_단위모듈 기준_Vdc min 기준</t>
    <phoneticPr fontId="1" type="noConversion"/>
  </si>
  <si>
    <t>실제 출력 가능 전압 계산_단위모듈 기준_Vdc 기준</t>
    <phoneticPr fontId="1" type="noConversion"/>
  </si>
  <si>
    <t>실제 출력 가능 전압 계산_Total_Vdc min기준</t>
    <phoneticPr fontId="1" type="noConversion"/>
  </si>
  <si>
    <t>실제 출력 가능 전압 계산_Total_Vdc 기준</t>
    <phoneticPr fontId="1" type="noConversion"/>
  </si>
  <si>
    <t>듀티_Vdc min 기준</t>
    <phoneticPr fontId="1" type="noConversion"/>
  </si>
  <si>
    <t>J_2차권선</t>
    <phoneticPr fontId="2" type="noConversion"/>
  </si>
  <si>
    <t>J_1차권선</t>
    <phoneticPr fontId="2" type="noConversion"/>
  </si>
  <si>
    <t>uH</t>
    <phoneticPr fontId="1" type="noConversion"/>
  </si>
  <si>
    <t>Rising Time</t>
    <phoneticPr fontId="2" type="noConversion"/>
  </si>
  <si>
    <t>최대전류 스위칭에서의 원하는 상승, 하강 시간</t>
    <phoneticPr fontId="1" type="noConversion"/>
  </si>
  <si>
    <t>SiC FET</t>
    <phoneticPr fontId="1" type="noConversion"/>
  </si>
  <si>
    <t>mohm</t>
    <phoneticPr fontId="1" type="noConversion"/>
  </si>
  <si>
    <t>Parallel Number</t>
    <phoneticPr fontId="1" type="noConversion"/>
  </si>
  <si>
    <t>병렬</t>
    <phoneticPr fontId="1" type="noConversion"/>
  </si>
  <si>
    <t>병렬한 FET 수</t>
    <phoneticPr fontId="1" type="noConversion"/>
  </si>
  <si>
    <t>Total Rdson at 125C</t>
    <phoneticPr fontId="1" type="noConversion"/>
  </si>
  <si>
    <t>BRIDGE 구조</t>
    <phoneticPr fontId="1" type="noConversion"/>
  </si>
  <si>
    <t>Conduction Loss_소자 1ea기준</t>
    <phoneticPr fontId="1" type="noConversion"/>
  </si>
  <si>
    <t>W</t>
    <phoneticPr fontId="1" type="noConversion"/>
  </si>
  <si>
    <t>Conduction Loss = 2 * Ir^2 * Rdson</t>
    <phoneticPr fontId="1" type="noConversion"/>
  </si>
  <si>
    <t>Rt, Junction to Case</t>
    <phoneticPr fontId="1" type="noConversion"/>
  </si>
  <si>
    <t>C/W</t>
    <phoneticPr fontId="1" type="noConversion"/>
  </si>
  <si>
    <t>패키지의 열저항</t>
    <phoneticPr fontId="1" type="noConversion"/>
  </si>
  <si>
    <t>delta T</t>
    <phoneticPr fontId="1" type="noConversion"/>
  </si>
  <si>
    <t>C</t>
    <phoneticPr fontId="1" type="noConversion"/>
  </si>
  <si>
    <t>Loss %</t>
    <phoneticPr fontId="1" type="noConversion"/>
  </si>
  <si>
    <t>Inverter Efficiency</t>
    <phoneticPr fontId="1" type="noConversion"/>
  </si>
  <si>
    <t xml:space="preserve">Out Filter </t>
    <phoneticPr fontId="1" type="noConversion"/>
  </si>
  <si>
    <t>적용 2차보드</t>
    <phoneticPr fontId="1" type="noConversion"/>
  </si>
  <si>
    <t>Capacitor per 1output</t>
    <phoneticPr fontId="1" type="noConversion"/>
  </si>
  <si>
    <t>Stored Energy in Capacitor_단위모듈 기준</t>
    <phoneticPr fontId="1" type="noConversion"/>
  </si>
  <si>
    <t>7298보빈(LBB00023)에 550턴/550턴/550턴/550턴--&gt; 2200턴 적용: 0.3파이 PEW, 0.07SQ</t>
    <phoneticPr fontId="1" type="noConversion"/>
  </si>
  <si>
    <t>Output Inductor 직렬 수량</t>
    <phoneticPr fontId="1" type="noConversion"/>
  </si>
  <si>
    <t>mH</t>
    <phoneticPr fontId="1" type="noConversion"/>
  </si>
  <si>
    <t>Joule</t>
    <phoneticPr fontId="1" type="noConversion"/>
  </si>
  <si>
    <t>ohm</t>
    <phoneticPr fontId="1" type="noConversion"/>
  </si>
  <si>
    <t>I peak at spark</t>
    <phoneticPr fontId="1" type="noConversion"/>
  </si>
  <si>
    <t>A</t>
    <phoneticPr fontId="1" type="noConversion"/>
  </si>
  <si>
    <t>Energy per 1output</t>
    <phoneticPr fontId="1" type="noConversion"/>
  </si>
  <si>
    <t>Frequency of Out Filter</t>
    <phoneticPr fontId="1" type="noConversion"/>
  </si>
  <si>
    <t>kHz</t>
    <phoneticPr fontId="1" type="noConversion"/>
  </si>
  <si>
    <t>Vrms</t>
    <phoneticPr fontId="1" type="noConversion"/>
  </si>
  <si>
    <t xml:space="preserve">SiC FET 의 Tj=125C에서의 Rdson은 Tj=25C에서의 1.4배 </t>
    <phoneticPr fontId="1" type="noConversion"/>
  </si>
  <si>
    <t>30kV 100mA 3kW</t>
    <phoneticPr fontId="1" type="noConversion"/>
  </si>
  <si>
    <t>제품명</t>
    <phoneticPr fontId="10" type="noConversion"/>
  </si>
  <si>
    <t>비고</t>
    <phoneticPr fontId="10" type="noConversion"/>
  </si>
  <si>
    <t>공정</t>
    <phoneticPr fontId="10" type="noConversion"/>
  </si>
  <si>
    <t>전력</t>
    <phoneticPr fontId="10" type="noConversion"/>
  </si>
  <si>
    <t>예상 동작 주파수</t>
    <phoneticPr fontId="10" type="noConversion"/>
  </si>
  <si>
    <t>MAX Freq는 확인 필요</t>
    <phoneticPr fontId="1" type="noConversion"/>
  </si>
  <si>
    <t>입력 선전류(마진포함)</t>
    <phoneticPr fontId="10" type="noConversion"/>
  </si>
  <si>
    <t>입력 DC전류</t>
    <phoneticPr fontId="10" type="noConversion"/>
  </si>
  <si>
    <t>인버터 출력전류(1차전류)</t>
    <phoneticPr fontId="10" type="noConversion"/>
  </si>
  <si>
    <t>트랜스포머 2차권선 전압(1개 출력기준)</t>
    <phoneticPr fontId="2" type="noConversion"/>
  </si>
  <si>
    <t>30kV</t>
    <phoneticPr fontId="1" type="noConversion"/>
  </si>
  <si>
    <t>MCCB</t>
    <phoneticPr fontId="10" type="noConversion"/>
  </si>
  <si>
    <t>SCC00202(32A 짜리인지 확인필요)</t>
    <phoneticPr fontId="1" type="noConversion"/>
  </si>
  <si>
    <t>FUSE</t>
    <phoneticPr fontId="10" type="noConversion"/>
  </si>
  <si>
    <t>노이즈필터</t>
    <phoneticPr fontId="1" type="noConversion"/>
  </si>
  <si>
    <t>X-CAP</t>
    <phoneticPr fontId="1" type="noConversion"/>
  </si>
  <si>
    <t>Y-CAP</t>
    <phoneticPr fontId="1" type="noConversion"/>
  </si>
  <si>
    <t>정류부</t>
    <phoneticPr fontId="10" type="noConversion"/>
  </si>
  <si>
    <t>DC REACTOR</t>
    <phoneticPr fontId="1" type="noConversion"/>
  </si>
  <si>
    <t>연구소에 제작해 놓은 것 사용</t>
    <phoneticPr fontId="1" type="noConversion"/>
  </si>
  <si>
    <t>1차 WIRE</t>
    <phoneticPr fontId="1" type="noConversion"/>
  </si>
  <si>
    <t>승압트랜스포머 턴비</t>
    <phoneticPr fontId="10" type="noConversion"/>
  </si>
  <si>
    <t>2차 트랜스 보드</t>
    <phoneticPr fontId="1" type="noConversion"/>
  </si>
  <si>
    <t>출력 인덕터 보드</t>
    <phoneticPr fontId="1" type="noConversion"/>
  </si>
  <si>
    <t>메인 컨트롤 보드</t>
    <phoneticPr fontId="2" type="noConversion"/>
  </si>
  <si>
    <t>LCD 보드</t>
    <phoneticPr fontId="1" type="noConversion"/>
  </si>
  <si>
    <t>CM FILTER</t>
    <phoneticPr fontId="1" type="noConversion"/>
  </si>
  <si>
    <t>램프</t>
    <phoneticPr fontId="1" type="noConversion"/>
  </si>
  <si>
    <r>
      <t xml:space="preserve">공진 L 턴수 결정 </t>
    </r>
    <r>
      <rPr>
        <b/>
        <sz val="11"/>
        <color rgb="FFFF0000"/>
        <rFont val="맑은 고딕"/>
        <family val="3"/>
        <charset val="129"/>
        <scheme val="minor"/>
      </rPr>
      <t>(0.08*400=2.01SQ)</t>
    </r>
    <phoneticPr fontId="2" type="noConversion"/>
  </si>
  <si>
    <t>LLL00314_보빈_LBB00023(2200턴)</t>
    <phoneticPr fontId="1" type="noConversion"/>
  </si>
  <si>
    <t>제거</t>
    <phoneticPr fontId="1" type="noConversion"/>
  </si>
  <si>
    <t>필요한 2차권선 단면적(0.1*7=0.055SQ)or 0.1*10가닥</t>
    <phoneticPr fontId="1" type="noConversion"/>
  </si>
  <si>
    <t xml:space="preserve">HCPL7840 입력 전압 </t>
    <phoneticPr fontId="1" type="noConversion"/>
  </si>
  <si>
    <t>NE5532 2배</t>
    <phoneticPr fontId="1" type="noConversion"/>
  </si>
  <si>
    <t xml:space="preserve">330k 1W  </t>
    <phoneticPr fontId="1" type="noConversion"/>
  </si>
  <si>
    <t>개</t>
    <phoneticPr fontId="1" type="noConversion"/>
  </si>
  <si>
    <t xml:space="preserve">저항 개당 걸리는 전압 </t>
    <phoneticPr fontId="1" type="noConversion"/>
  </si>
  <si>
    <t>V</t>
    <phoneticPr fontId="1" type="noConversion"/>
  </si>
  <si>
    <t>: VO 제어 하는 ADC 센싱 라인의 필터를 1K+226에서 1K+104로 수정 완료됨.</t>
    <phoneticPr fontId="1" type="noConversion"/>
  </si>
  <si>
    <t xml:space="preserve">소비 전력 </t>
    <phoneticPr fontId="1" type="noConversion"/>
  </si>
  <si>
    <t>W</t>
    <phoneticPr fontId="1" type="noConversion"/>
  </si>
  <si>
    <t>IO</t>
    <phoneticPr fontId="1" type="noConversion"/>
  </si>
  <si>
    <t>IO 센싱 저항 변경 (센싱 범위를 키워 센싱 변별력 확보--&gt; 캘리브레이션에 도움이 됨)</t>
    <phoneticPr fontId="1" type="noConversion"/>
  </si>
  <si>
    <t>: HCPL7840 전단 필터 100옴+104를 22옴+474로 수정 후 IO 센싱 리플 감소하여 센싱 저항을 0.5옴에서 1.2옴으로 수정가능하였음.</t>
    <phoneticPr fontId="1" type="noConversion"/>
  </si>
  <si>
    <t>A</t>
    <phoneticPr fontId="1" type="noConversion"/>
  </si>
  <si>
    <t>: IO 제어 하는 ADC 센싱 라인의 필터를 1K+226에서 1K+104로 수정 해서 실험 필요..</t>
    <phoneticPr fontId="1" type="noConversion"/>
  </si>
  <si>
    <t xml:space="preserve">걸리는 전압 </t>
    <phoneticPr fontId="1" type="noConversion"/>
  </si>
  <si>
    <t>Ir</t>
    <phoneticPr fontId="1" type="noConversion"/>
  </si>
  <si>
    <t xml:space="preserve">22옴 1W 저항 </t>
    <phoneticPr fontId="1" type="noConversion"/>
  </si>
  <si>
    <t xml:space="preserve">IR 센싱 저항 변경 해야함.. (현재 10옴 2병렬로 잘 못 적용되어 있음..) </t>
    <phoneticPr fontId="1" type="noConversion"/>
  </si>
  <si>
    <t xml:space="preserve">변경 해야 될 사유 : 센싱 범위와 실제 동작의 전류 범위가 차이가 커서(실제전류의 센싱레벨은 0.2V 정도밖에 되지 않음) 센싱 부정확 </t>
    <phoneticPr fontId="1" type="noConversion"/>
  </si>
  <si>
    <t xml:space="preserve">걸리는 전압 </t>
    <phoneticPr fontId="1" type="noConversion"/>
  </si>
  <si>
    <t>3kW_적용예정</t>
    <phoneticPr fontId="1" type="noConversion"/>
  </si>
  <si>
    <t>DCEP-3030KDD</t>
    <phoneticPr fontId="10" type="noConversion"/>
  </si>
  <si>
    <t>DC 집진기_30kV-100mA</t>
    <phoneticPr fontId="1" type="noConversion"/>
  </si>
  <si>
    <t>3KW</t>
    <phoneticPr fontId="10" type="noConversion"/>
  </si>
  <si>
    <t>불연속_30kHz, 연속_50~180kHz</t>
    <phoneticPr fontId="10" type="noConversion"/>
  </si>
  <si>
    <t>5.3A</t>
    <phoneticPr fontId="10" type="noConversion"/>
  </si>
  <si>
    <t>7A</t>
    <phoneticPr fontId="10" type="noConversion"/>
  </si>
  <si>
    <t xml:space="preserve">9A </t>
    <phoneticPr fontId="10" type="noConversion"/>
  </si>
  <si>
    <t xml:space="preserve">625V </t>
    <phoneticPr fontId="10" type="noConversion"/>
  </si>
  <si>
    <t>트랜스포머 1개당 4출력이 있으므로 1개의 트랜스포머 모듈 기준으로는 2500V</t>
    <phoneticPr fontId="1" type="noConversion"/>
  </si>
  <si>
    <t>100mA</t>
    <phoneticPr fontId="1" type="noConversion"/>
  </si>
  <si>
    <t>ABS33C 10A</t>
    <phoneticPr fontId="10" type="noConversion"/>
  </si>
  <si>
    <t>LRR00045 (L=4800N(각1200N) 코어 CS-40 턴수 58*2, 출력선 4가닥)</t>
    <phoneticPr fontId="1" type="noConversion"/>
  </si>
  <si>
    <t>DC INPUT CAPACTOR 보드</t>
    <phoneticPr fontId="1" type="noConversion"/>
  </si>
  <si>
    <t>KBL02918_DC-EPC_3kW_INPUT CAPACITOR_V1</t>
    <phoneticPr fontId="2" type="noConversion"/>
  </si>
  <si>
    <t>1차 POWER 보드</t>
    <phoneticPr fontId="1" type="noConversion"/>
  </si>
  <si>
    <t>2.5kW 설비와 동일(KBL10927)</t>
    <phoneticPr fontId="10" type="noConversion"/>
  </si>
  <si>
    <t xml:space="preserve">682 1600V 9병렬 적용 (6.8nF x 9 = 61.2nF) </t>
    <phoneticPr fontId="1" type="noConversion"/>
  </si>
  <si>
    <t xml:space="preserve">공진 cap(C40,C41C42,C43,C44,C45,C46,C50,C51)을 682 1600V 9병렬 적용 (6.8nF x 9 = 61.2nF) </t>
    <phoneticPr fontId="1" type="noConversion"/>
  </si>
  <si>
    <t>2.5kW 설비와 동일(KBL10927)_공진 CAP만 변경함.</t>
    <phoneticPr fontId="1" type="noConversion"/>
  </si>
  <si>
    <t>필요한 1차권선 단면적(0.08*400=2.01SQ)</t>
    <phoneticPr fontId="1" type="noConversion"/>
  </si>
  <si>
    <t>5턴, 필요한 1차권선 단면적(0.08*400=2.01SQ)</t>
    <phoneticPr fontId="1" type="noConversion"/>
  </si>
  <si>
    <t>5대 42</t>
    <phoneticPr fontId="10" type="noConversion"/>
  </si>
  <si>
    <t>트랜스포머 1출력 기준</t>
    <phoneticPr fontId="1" type="noConversion"/>
  </si>
  <si>
    <t>KBL02889_ADC-EP-OUTPUT INDUCTOR_V1_2200 TURN_PEW 0.3파이_0.07SQ)</t>
    <phoneticPr fontId="1" type="noConversion"/>
  </si>
  <si>
    <t>KBL02745 (DC_EPC_CONTROL_INTER_SMPS_V7_1)</t>
    <phoneticPr fontId="1" type="noConversion"/>
  </si>
  <si>
    <t>KBL02515(PSSU-0220KAU_LCD_V1_2 193 * 256, FR-4, 1.6T, 1oz 2층 SMD 단면 3ARRAY)</t>
    <phoneticPr fontId="1" type="noConversion"/>
  </si>
  <si>
    <t>LFB00030_[UTV 6487]-HM5A-Noise Filter용</t>
    <phoneticPr fontId="1" type="noConversion"/>
  </si>
  <si>
    <t>사내 제작 필요</t>
    <phoneticPr fontId="1" type="noConversion"/>
  </si>
  <si>
    <t>GDE00066_KPL30W-L2C-적색(R), 30파이, LED램프, 12V, IP65(보호형)</t>
    <phoneticPr fontId="1" type="noConversion"/>
  </si>
  <si>
    <t>C23, C25, C26, C18, C19, C20, C28, C29, C30 (103 3kV로 변경)</t>
    <phoneticPr fontId="1" type="noConversion"/>
  </si>
  <si>
    <t>1. 입력 Y-CAP 부분은 203 3kV(103 3kV 2병렬)로 변경해야함.
2. COM ERROR 부분도 103 3kV +1M옴 -&gt; 203 3kV +1M옴 (103 3kV 병렬로 추가)
--&gt; 변경사항은 EPC-1.5kW 시방변경_20211201의 컨트롤보드 부분 참고.(연구소에 문의 해도 됨)</t>
    <phoneticPr fontId="1" type="noConversion"/>
  </si>
  <si>
    <t>KBL02615_A(DC-EPC-25KV100MA-SECONDARY_V2_42TURN)</t>
    <phoneticPr fontId="1" type="noConversion"/>
  </si>
  <si>
    <r>
      <rPr>
        <b/>
        <sz val="10"/>
        <color rgb="FFFF0000"/>
        <rFont val="맑은 고딕"/>
        <family val="3"/>
        <charset val="129"/>
        <scheme val="minor"/>
      </rPr>
      <t xml:space="preserve">D15 제거 해야함(BOM에는 제거가 되어 있음). </t>
    </r>
    <r>
      <rPr>
        <sz val="10"/>
        <color theme="1"/>
        <rFont val="맑은 고딕"/>
        <family val="3"/>
        <charset val="129"/>
        <scheme val="minor"/>
      </rPr>
      <t xml:space="preserve">배압정류 적용되어 있음. 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</si>
</sst>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4">
    <numFmt numFmtId="41" formatCode="_-* #,##0_-;\-* #,##0_-;_-* &quot;-&quot;_-;_-@_-"/>
    <numFmt numFmtId="43" formatCode="_-* #,##0.00_-;\-* #,##0.00_-;_-* &quot;-&quot;??_-;_-@_-"/>
    <numFmt numFmtId="176" formatCode="0.00_);[Red]\(0.00\)"/>
    <numFmt numFmtId="177" formatCode="0.0_ "/>
    <numFmt numFmtId="178" formatCode="0_ "/>
    <numFmt numFmtId="179" formatCode="0.000_ "/>
    <numFmt numFmtId="180" formatCode="0.000_);[Red]\(0.000\)"/>
    <numFmt numFmtId="181" formatCode="0.00_ "/>
    <numFmt numFmtId="182" formatCode="0_);[Red]\(0\)"/>
    <numFmt numFmtId="183" formatCode="0.0_);[Red]\(0.0\)"/>
    <numFmt numFmtId="184" formatCode="0.0"/>
    <numFmt numFmtId="185" formatCode="0.000"/>
    <numFmt numFmtId="186" formatCode="0.0000"/>
    <numFmt numFmtId="187" formatCode="0.00000"/>
  </numFmts>
  <fonts count="2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돋움"/>
      <family val="3"/>
      <charset val="129"/>
    </font>
    <font>
      <sz val="11"/>
      <color theme="1"/>
      <name val="맑은 고딕"/>
      <family val="3"/>
      <charset val="129"/>
    </font>
    <font>
      <sz val="11"/>
      <color theme="1"/>
      <name val="맑은 고딕"/>
      <family val="2"/>
      <charset val="129"/>
    </font>
    <font>
      <sz val="11"/>
      <color rgb="FFFF0000"/>
      <name val="맑은 고딕"/>
      <family val="2"/>
      <charset val="129"/>
      <scheme val="minor"/>
    </font>
    <font>
      <sz val="11"/>
      <color theme="9" tint="-0.249977111117893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2"/>
      <charset val="129"/>
      <scheme val="minor"/>
    </font>
    <font>
      <sz val="11"/>
      <name val="맑은 고딕"/>
      <family val="3"/>
      <charset val="129"/>
      <scheme val="minor"/>
    </font>
    <font>
      <sz val="8"/>
      <name val="맑은 고딕"/>
      <family val="3"/>
      <charset val="129"/>
    </font>
    <font>
      <sz val="11"/>
      <color indexed="8"/>
      <name val="맑은 고딕"/>
      <family val="3"/>
      <charset val="129"/>
    </font>
    <font>
      <vertAlign val="superscript"/>
      <sz val="11"/>
      <color indexed="8"/>
      <name val="맑은 고딕"/>
      <family val="3"/>
      <charset val="129"/>
    </font>
    <font>
      <sz val="11"/>
      <color theme="9" tint="-0.249977111117893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name val="돋움"/>
      <family val="3"/>
      <charset val="129"/>
    </font>
    <font>
      <b/>
      <sz val="1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u/>
      <sz val="11"/>
      <name val="바탕"/>
      <family val="1"/>
      <charset val="129"/>
    </font>
    <font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</font>
    <font>
      <b/>
      <sz val="10"/>
      <color rgb="FFFF0000"/>
      <name val="맑은 고딕"/>
      <family val="3"/>
      <charset val="129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6" tint="0.399945066682943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79998168889431442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medium">
        <color indexed="64"/>
      </left>
      <right style="medium">
        <color indexed="64"/>
      </right>
      <top/>
      <bottom style="double">
        <color indexed="64"/>
      </bottom>
      <diagonal/>
    </border>
    <border>
      <left style="medium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double">
        <color indexed="64"/>
      </right>
      <top style="thin">
        <color indexed="64"/>
      </top>
      <bottom/>
      <diagonal/>
    </border>
    <border>
      <left style="double">
        <color indexed="64"/>
      </left>
      <right style="double">
        <color indexed="64"/>
      </right>
      <top style="thin">
        <color indexed="64"/>
      </top>
      <bottom/>
      <diagonal/>
    </border>
    <border>
      <left style="medium">
        <color indexed="64"/>
      </left>
      <right style="double">
        <color indexed="64"/>
      </right>
      <top style="thin">
        <color indexed="64"/>
      </top>
      <bottom style="medium">
        <color indexed="64"/>
      </bottom>
      <diagonal/>
    </border>
    <border>
      <left style="double">
        <color indexed="64"/>
      </left>
      <right style="double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6">
    <xf numFmtId="0" fontId="0" fillId="0" borderId="0">
      <alignment vertical="center"/>
    </xf>
    <xf numFmtId="41" fontId="7" fillId="0" borderId="0" applyFont="0" applyFill="0" applyBorder="0" applyAlignment="0" applyProtection="0">
      <alignment vertical="center"/>
    </xf>
    <xf numFmtId="0" fontId="15" fillId="0" borderId="0"/>
    <xf numFmtId="0" fontId="15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</cellStyleXfs>
  <cellXfs count="362">
    <xf numFmtId="0" fontId="0" fillId="0" borderId="0" xfId="0">
      <alignment vertical="center"/>
    </xf>
    <xf numFmtId="0" fontId="0" fillId="0" borderId="0" xfId="0" applyAlignment="1">
      <alignment horizontal="right" vertical="center"/>
    </xf>
    <xf numFmtId="0" fontId="6" fillId="0" borderId="0" xfId="0" applyFont="1" applyAlignment="1">
      <alignment vertical="center"/>
    </xf>
    <xf numFmtId="0" fontId="0" fillId="0" borderId="0" xfId="0" applyNumberFormat="1" applyAlignment="1">
      <alignment vertical="center"/>
    </xf>
    <xf numFmtId="41" fontId="0" fillId="0" borderId="0" xfId="1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177" fontId="0" fillId="0" borderId="0" xfId="0" applyNumberFormat="1" applyAlignment="1">
      <alignment horizontal="center" vertical="center"/>
    </xf>
    <xf numFmtId="178" fontId="0" fillId="0" borderId="0" xfId="0" applyNumberFormat="1" applyAlignment="1">
      <alignment horizontal="center" vertical="center"/>
    </xf>
    <xf numFmtId="179" fontId="0" fillId="5" borderId="0" xfId="0" applyNumberFormat="1" applyFill="1" applyAlignment="1">
      <alignment horizontal="center" vertical="center"/>
    </xf>
    <xf numFmtId="179" fontId="0" fillId="0" borderId="0" xfId="0" applyNumberFormat="1" applyAlignment="1">
      <alignment horizontal="center" vertical="center"/>
    </xf>
    <xf numFmtId="180" fontId="0" fillId="4" borderId="0" xfId="0" applyNumberFormat="1" applyFill="1" applyAlignment="1">
      <alignment horizontal="center" vertical="center"/>
    </xf>
    <xf numFmtId="181" fontId="0" fillId="0" borderId="0" xfId="0" applyNumberFormat="1" applyAlignment="1">
      <alignment horizontal="center" vertical="center"/>
    </xf>
    <xf numFmtId="177" fontId="0" fillId="0" borderId="0" xfId="0" applyNumberFormat="1">
      <alignment vertical="center"/>
    </xf>
    <xf numFmtId="178" fontId="0" fillId="0" borderId="0" xfId="0" applyNumberFormat="1">
      <alignment vertical="center"/>
    </xf>
    <xf numFmtId="179" fontId="0" fillId="5" borderId="0" xfId="0" applyNumberFormat="1" applyFill="1">
      <alignment vertical="center"/>
    </xf>
    <xf numFmtId="179" fontId="0" fillId="0" borderId="0" xfId="0" applyNumberFormat="1">
      <alignment vertical="center"/>
    </xf>
    <xf numFmtId="180" fontId="0" fillId="4" borderId="0" xfId="0" applyNumberFormat="1" applyFill="1">
      <alignment vertical="center"/>
    </xf>
    <xf numFmtId="181" fontId="0" fillId="0" borderId="0" xfId="0" applyNumberFormat="1">
      <alignment vertical="center"/>
    </xf>
    <xf numFmtId="0" fontId="0" fillId="3" borderId="0" xfId="0" applyFill="1">
      <alignment vertical="center"/>
    </xf>
    <xf numFmtId="0" fontId="0" fillId="3" borderId="0" xfId="0" applyFill="1" applyAlignment="1">
      <alignment horizontal="left" vertical="center"/>
    </xf>
    <xf numFmtId="177" fontId="0" fillId="3" borderId="0" xfId="0" applyNumberFormat="1" applyFill="1">
      <alignment vertical="center"/>
    </xf>
    <xf numFmtId="178" fontId="0" fillId="3" borderId="0" xfId="0" applyNumberFormat="1" applyFill="1">
      <alignment vertical="center"/>
    </xf>
    <xf numFmtId="179" fontId="0" fillId="3" borderId="0" xfId="0" applyNumberFormat="1" applyFill="1">
      <alignment vertical="center"/>
    </xf>
    <xf numFmtId="181" fontId="0" fillId="3" borderId="0" xfId="0" applyNumberFormat="1" applyFill="1">
      <alignment vertical="center"/>
    </xf>
    <xf numFmtId="180" fontId="0" fillId="3" borderId="0" xfId="0" applyNumberFormat="1" applyFill="1">
      <alignment vertical="center"/>
    </xf>
    <xf numFmtId="0" fontId="6" fillId="0" borderId="0" xfId="0" applyFont="1">
      <alignment vertical="center"/>
    </xf>
    <xf numFmtId="0" fontId="13" fillId="0" borderId="0" xfId="0" applyFont="1" applyAlignment="1">
      <alignment horizontal="left" vertical="center"/>
    </xf>
    <xf numFmtId="177" fontId="13" fillId="0" borderId="0" xfId="0" applyNumberFormat="1" applyFont="1">
      <alignment vertical="center"/>
    </xf>
    <xf numFmtId="178" fontId="13" fillId="0" borderId="0" xfId="0" applyNumberFormat="1" applyFont="1">
      <alignment vertical="center"/>
    </xf>
    <xf numFmtId="179" fontId="13" fillId="5" borderId="0" xfId="0" applyNumberFormat="1" applyFont="1" applyFill="1">
      <alignment vertical="center"/>
    </xf>
    <xf numFmtId="179" fontId="13" fillId="0" borderId="0" xfId="0" applyNumberFormat="1" applyFont="1">
      <alignment vertical="center"/>
    </xf>
    <xf numFmtId="180" fontId="13" fillId="4" borderId="0" xfId="0" applyNumberFormat="1" applyFont="1" applyFill="1">
      <alignment vertical="center"/>
    </xf>
    <xf numFmtId="181" fontId="13" fillId="0" borderId="0" xfId="0" applyNumberFormat="1" applyFont="1">
      <alignment vertical="center"/>
    </xf>
    <xf numFmtId="0" fontId="0" fillId="0" borderId="0" xfId="0" applyFill="1">
      <alignment vertical="center"/>
    </xf>
    <xf numFmtId="0" fontId="0" fillId="0" borderId="0" xfId="0" applyFill="1" applyAlignment="1">
      <alignment horizontal="left" vertical="center"/>
    </xf>
    <xf numFmtId="177" fontId="0" fillId="0" borderId="0" xfId="0" applyNumberFormat="1" applyFill="1">
      <alignment vertical="center"/>
    </xf>
    <xf numFmtId="178" fontId="0" fillId="0" borderId="0" xfId="0" applyNumberFormat="1" applyFill="1">
      <alignment vertical="center"/>
    </xf>
    <xf numFmtId="179" fontId="0" fillId="0" borderId="0" xfId="0" applyNumberFormat="1" applyFill="1">
      <alignment vertical="center"/>
    </xf>
    <xf numFmtId="180" fontId="0" fillId="0" borderId="0" xfId="0" applyNumberFormat="1" applyFill="1">
      <alignment vertical="center"/>
    </xf>
    <xf numFmtId="181" fontId="0" fillId="0" borderId="0" xfId="0" applyNumberFormat="1" applyFill="1">
      <alignment vertical="center"/>
    </xf>
    <xf numFmtId="0" fontId="0" fillId="6" borderId="0" xfId="0" applyFill="1">
      <alignment vertical="center"/>
    </xf>
    <xf numFmtId="0" fontId="0" fillId="6" borderId="0" xfId="0" applyFill="1" applyAlignment="1">
      <alignment horizontal="left" vertical="center"/>
    </xf>
    <xf numFmtId="177" fontId="0" fillId="6" borderId="0" xfId="0" applyNumberFormat="1" applyFill="1">
      <alignment vertical="center"/>
    </xf>
    <xf numFmtId="178" fontId="0" fillId="6" borderId="0" xfId="0" applyNumberFormat="1" applyFill="1">
      <alignment vertical="center"/>
    </xf>
    <xf numFmtId="179" fontId="0" fillId="6" borderId="0" xfId="0" applyNumberFormat="1" applyFill="1">
      <alignment vertical="center"/>
    </xf>
    <xf numFmtId="181" fontId="0" fillId="6" borderId="0" xfId="0" applyNumberFormat="1" applyFill="1">
      <alignment vertical="center"/>
    </xf>
    <xf numFmtId="0" fontId="0" fillId="7" borderId="0" xfId="0" applyFill="1">
      <alignment vertical="center"/>
    </xf>
    <xf numFmtId="0" fontId="0" fillId="7" borderId="0" xfId="0" applyFill="1" applyAlignment="1">
      <alignment horizontal="left" vertical="center"/>
    </xf>
    <xf numFmtId="177" fontId="0" fillId="7" borderId="0" xfId="0" applyNumberFormat="1" applyFill="1">
      <alignment vertical="center"/>
    </xf>
    <xf numFmtId="178" fontId="0" fillId="7" borderId="0" xfId="0" applyNumberFormat="1" applyFill="1">
      <alignment vertical="center"/>
    </xf>
    <xf numFmtId="179" fontId="0" fillId="7" borderId="0" xfId="0" applyNumberFormat="1" applyFill="1">
      <alignment vertical="center"/>
    </xf>
    <xf numFmtId="180" fontId="0" fillId="7" borderId="0" xfId="0" applyNumberFormat="1" applyFill="1">
      <alignment vertical="center"/>
    </xf>
    <xf numFmtId="181" fontId="0" fillId="7" borderId="0" xfId="0" applyNumberFormat="1" applyFill="1">
      <alignment vertical="center"/>
    </xf>
    <xf numFmtId="0" fontId="14" fillId="0" borderId="0" xfId="0" applyFont="1" applyAlignment="1">
      <alignment horizontal="center" vertical="center"/>
    </xf>
    <xf numFmtId="181" fontId="14" fillId="0" borderId="0" xfId="0" applyNumberFormat="1" applyFont="1" applyAlignment="1">
      <alignment horizontal="center" vertical="center"/>
    </xf>
    <xf numFmtId="177" fontId="14" fillId="0" borderId="0" xfId="0" applyNumberFormat="1" applyFont="1" applyAlignment="1">
      <alignment horizontal="center" vertical="center"/>
    </xf>
    <xf numFmtId="179" fontId="14" fillId="0" borderId="0" xfId="0" applyNumberFormat="1" applyFont="1" applyAlignment="1">
      <alignment horizontal="center" vertical="center"/>
    </xf>
    <xf numFmtId="0" fontId="15" fillId="0" borderId="0" xfId="2"/>
    <xf numFmtId="0" fontId="9" fillId="12" borderId="5" xfId="2" applyFont="1" applyFill="1" applyBorder="1" applyAlignment="1">
      <alignment horizontal="center" vertical="center"/>
    </xf>
    <xf numFmtId="0" fontId="9" fillId="13" borderId="6" xfId="2" applyFont="1" applyFill="1" applyBorder="1" applyAlignment="1">
      <alignment horizontal="left" vertical="center"/>
    </xf>
    <xf numFmtId="0" fontId="9" fillId="13" borderId="6" xfId="2" applyFont="1" applyFill="1" applyBorder="1" applyAlignment="1">
      <alignment horizontal="left"/>
    </xf>
    <xf numFmtId="182" fontId="9" fillId="13" borderId="6" xfId="2" applyNumberFormat="1" applyFont="1" applyFill="1" applyBorder="1" applyAlignment="1">
      <alignment horizontal="left" vertical="center"/>
    </xf>
    <xf numFmtId="183" fontId="9" fillId="13" borderId="6" xfId="2" applyNumberFormat="1" applyFont="1" applyFill="1" applyBorder="1" applyAlignment="1">
      <alignment horizontal="left" vertical="center"/>
    </xf>
    <xf numFmtId="178" fontId="9" fillId="13" borderId="6" xfId="2" applyNumberFormat="1" applyFont="1" applyFill="1" applyBorder="1" applyAlignment="1">
      <alignment horizontal="left" vertical="center"/>
    </xf>
    <xf numFmtId="0" fontId="9" fillId="13" borderId="6" xfId="2" applyFont="1" applyFill="1" applyBorder="1" applyAlignment="1">
      <alignment horizontal="center" vertical="center"/>
    </xf>
    <xf numFmtId="0" fontId="9" fillId="12" borderId="7" xfId="2" applyFont="1" applyFill="1" applyBorder="1" applyAlignment="1">
      <alignment horizontal="center" vertical="center"/>
    </xf>
    <xf numFmtId="182" fontId="9" fillId="13" borderId="8" xfId="2" applyNumberFormat="1" applyFont="1" applyFill="1" applyBorder="1" applyAlignment="1">
      <alignment horizontal="left" vertical="center"/>
    </xf>
    <xf numFmtId="0" fontId="9" fillId="13" borderId="8" xfId="2" applyFont="1" applyFill="1" applyBorder="1" applyAlignment="1">
      <alignment horizontal="left" vertical="center"/>
    </xf>
    <xf numFmtId="0" fontId="9" fillId="13" borderId="8" xfId="2" applyFont="1" applyFill="1" applyBorder="1" applyAlignment="1">
      <alignment horizontal="left"/>
    </xf>
    <xf numFmtId="183" fontId="9" fillId="13" borderId="8" xfId="2" applyNumberFormat="1" applyFont="1" applyFill="1" applyBorder="1" applyAlignment="1">
      <alignment horizontal="left" vertical="center"/>
    </xf>
    <xf numFmtId="178" fontId="9" fillId="13" borderId="8" xfId="2" applyNumberFormat="1" applyFont="1" applyFill="1" applyBorder="1" applyAlignment="1">
      <alignment horizontal="left" vertical="center"/>
    </xf>
    <xf numFmtId="0" fontId="9" fillId="13" borderId="8" xfId="2" applyFont="1" applyFill="1" applyBorder="1" applyAlignment="1">
      <alignment horizontal="center" vertical="center"/>
    </xf>
    <xf numFmtId="0" fontId="9" fillId="12" borderId="9" xfId="2" applyFont="1" applyFill="1" applyBorder="1" applyAlignment="1">
      <alignment horizontal="center" vertical="center"/>
    </xf>
    <xf numFmtId="0" fontId="9" fillId="13" borderId="10" xfId="2" applyFont="1" applyFill="1" applyBorder="1" applyAlignment="1">
      <alignment horizontal="left" vertical="center"/>
    </xf>
    <xf numFmtId="0" fontId="9" fillId="13" borderId="10" xfId="2" applyFont="1" applyFill="1" applyBorder="1" applyAlignment="1">
      <alignment horizontal="left"/>
    </xf>
    <xf numFmtId="182" fontId="9" fillId="13" borderId="10" xfId="2" applyNumberFormat="1" applyFont="1" applyFill="1" applyBorder="1" applyAlignment="1">
      <alignment horizontal="left" vertical="center"/>
    </xf>
    <xf numFmtId="183" fontId="9" fillId="13" borderId="10" xfId="2" applyNumberFormat="1" applyFont="1" applyFill="1" applyBorder="1" applyAlignment="1">
      <alignment horizontal="left" vertical="center"/>
    </xf>
    <xf numFmtId="178" fontId="9" fillId="13" borderId="10" xfId="2" applyNumberFormat="1" applyFont="1" applyFill="1" applyBorder="1" applyAlignment="1">
      <alignment horizontal="left" vertical="center"/>
    </xf>
    <xf numFmtId="0" fontId="9" fillId="13" borderId="10" xfId="2" applyFont="1" applyFill="1" applyBorder="1" applyAlignment="1">
      <alignment horizontal="center" vertical="center"/>
    </xf>
    <xf numFmtId="0" fontId="9" fillId="0" borderId="0" xfId="3" applyFont="1" applyAlignment="1">
      <alignment vertical="center"/>
    </xf>
    <xf numFmtId="0" fontId="9" fillId="0" borderId="12" xfId="0" applyFont="1" applyBorder="1" applyAlignment="1">
      <alignment vertical="center"/>
    </xf>
    <xf numFmtId="0" fontId="9" fillId="10" borderId="12" xfId="0" applyFont="1" applyFill="1" applyBorder="1" applyAlignment="1">
      <alignment vertical="center"/>
    </xf>
    <xf numFmtId="0" fontId="14" fillId="0" borderId="12" xfId="0" applyFont="1" applyBorder="1" applyAlignment="1">
      <alignment vertical="center"/>
    </xf>
    <xf numFmtId="0" fontId="9" fillId="13" borderId="12" xfId="0" applyFont="1" applyFill="1" applyBorder="1" applyAlignment="1">
      <alignment vertical="center"/>
    </xf>
    <xf numFmtId="0" fontId="17" fillId="0" borderId="12" xfId="0" applyFont="1" applyBorder="1" applyAlignment="1">
      <alignment vertical="center"/>
    </xf>
    <xf numFmtId="0" fontId="14" fillId="0" borderId="12" xfId="0" applyNumberFormat="1" applyFont="1" applyBorder="1" applyAlignment="1">
      <alignment vertical="center"/>
    </xf>
    <xf numFmtId="0" fontId="17" fillId="0" borderId="12" xfId="0" applyNumberFormat="1" applyFont="1" applyBorder="1" applyAlignment="1">
      <alignment vertical="center"/>
    </xf>
    <xf numFmtId="0" fontId="9" fillId="9" borderId="12" xfId="0" applyFont="1" applyFill="1" applyBorder="1" applyAlignment="1">
      <alignment vertical="center"/>
    </xf>
    <xf numFmtId="0" fontId="14" fillId="13" borderId="12" xfId="0" applyNumberFormat="1" applyFont="1" applyFill="1" applyBorder="1" applyAlignment="1">
      <alignment vertical="center"/>
    </xf>
    <xf numFmtId="0" fontId="18" fillId="9" borderId="12" xfId="0" applyFont="1" applyFill="1" applyBorder="1" applyAlignment="1">
      <alignment vertical="center"/>
    </xf>
    <xf numFmtId="1" fontId="14" fillId="0" borderId="12" xfId="0" applyNumberFormat="1" applyFont="1" applyBorder="1" applyAlignment="1">
      <alignment vertical="center"/>
    </xf>
    <xf numFmtId="0" fontId="17" fillId="10" borderId="12" xfId="0" applyNumberFormat="1" applyFont="1" applyFill="1" applyBorder="1" applyAlignment="1">
      <alignment vertical="center"/>
    </xf>
    <xf numFmtId="177" fontId="14" fillId="9" borderId="12" xfId="0" applyNumberFormat="1" applyFont="1" applyFill="1" applyBorder="1" applyAlignment="1">
      <alignment vertical="center"/>
    </xf>
    <xf numFmtId="0" fontId="9" fillId="10" borderId="12" xfId="0" applyNumberFormat="1" applyFont="1" applyFill="1" applyBorder="1" applyAlignment="1">
      <alignment vertical="center"/>
    </xf>
    <xf numFmtId="177" fontId="17" fillId="10" borderId="12" xfId="0" applyNumberFormat="1" applyFont="1" applyFill="1" applyBorder="1" applyAlignment="1">
      <alignment vertical="center"/>
    </xf>
    <xf numFmtId="180" fontId="18" fillId="9" borderId="12" xfId="0" applyNumberFormat="1" applyFont="1" applyFill="1" applyBorder="1" applyAlignment="1">
      <alignment vertical="center"/>
    </xf>
    <xf numFmtId="177" fontId="17" fillId="9" borderId="12" xfId="0" applyNumberFormat="1" applyFont="1" applyFill="1" applyBorder="1" applyAlignment="1">
      <alignment vertical="center"/>
    </xf>
    <xf numFmtId="0" fontId="9" fillId="0" borderId="12" xfId="3" applyFont="1" applyBorder="1" applyAlignment="1">
      <alignment vertical="center"/>
    </xf>
    <xf numFmtId="0" fontId="9" fillId="10" borderId="12" xfId="3" applyFont="1" applyFill="1" applyBorder="1" applyAlignment="1">
      <alignment vertical="center"/>
    </xf>
    <xf numFmtId="179" fontId="17" fillId="0" borderId="12" xfId="0" applyNumberFormat="1" applyFont="1" applyBorder="1" applyAlignment="1">
      <alignment vertical="center"/>
    </xf>
    <xf numFmtId="177" fontId="18" fillId="14" borderId="12" xfId="0" applyNumberFormat="1" applyFont="1" applyFill="1" applyBorder="1" applyAlignment="1">
      <alignment vertical="center"/>
    </xf>
    <xf numFmtId="0" fontId="9" fillId="15" borderId="12" xfId="3" applyFont="1" applyFill="1" applyBorder="1" applyAlignment="1">
      <alignment vertical="center"/>
    </xf>
    <xf numFmtId="0" fontId="9" fillId="0" borderId="12" xfId="3" applyFont="1" applyBorder="1">
      <alignment vertical="center"/>
    </xf>
    <xf numFmtId="0" fontId="9" fillId="10" borderId="12" xfId="3" applyFont="1" applyFill="1" applyBorder="1">
      <alignment vertical="center"/>
    </xf>
    <xf numFmtId="0" fontId="18" fillId="9" borderId="12" xfId="3" applyFont="1" applyFill="1" applyBorder="1">
      <alignment vertical="center"/>
    </xf>
    <xf numFmtId="0" fontId="18" fillId="9" borderId="12" xfId="3" applyFont="1" applyFill="1" applyBorder="1" applyAlignment="1">
      <alignment vertical="center"/>
    </xf>
    <xf numFmtId="0" fontId="9" fillId="9" borderId="12" xfId="3" applyFont="1" applyFill="1" applyBorder="1" applyAlignment="1">
      <alignment vertical="center"/>
    </xf>
    <xf numFmtId="0" fontId="9" fillId="15" borderId="12" xfId="0" applyFont="1" applyFill="1" applyBorder="1" applyAlignment="1">
      <alignment vertical="center"/>
    </xf>
    <xf numFmtId="177" fontId="9" fillId="9" borderId="12" xfId="0" applyNumberFormat="1" applyFont="1" applyFill="1" applyBorder="1" applyAlignment="1">
      <alignment vertical="center"/>
    </xf>
    <xf numFmtId="177" fontId="18" fillId="9" borderId="12" xfId="0" applyNumberFormat="1" applyFont="1" applyFill="1" applyBorder="1" applyAlignment="1">
      <alignment vertical="center"/>
    </xf>
    <xf numFmtId="0" fontId="9" fillId="0" borderId="12" xfId="0" applyFont="1" applyFill="1" applyBorder="1" applyAlignment="1">
      <alignment vertical="center"/>
    </xf>
    <xf numFmtId="0" fontId="18" fillId="14" borderId="12" xfId="3" quotePrefix="1" applyFont="1" applyFill="1" applyBorder="1" applyAlignment="1">
      <alignment vertical="center"/>
    </xf>
    <xf numFmtId="0" fontId="9" fillId="0" borderId="12" xfId="0" applyFont="1" applyBorder="1" applyAlignment="1"/>
    <xf numFmtId="0" fontId="9" fillId="10" borderId="12" xfId="0" applyFont="1" applyFill="1" applyBorder="1" applyAlignment="1"/>
    <xf numFmtId="0" fontId="18" fillId="14" borderId="12" xfId="0" applyFont="1" applyFill="1" applyBorder="1" applyAlignment="1"/>
    <xf numFmtId="0" fontId="15" fillId="0" borderId="0" xfId="3">
      <alignment vertical="center"/>
    </xf>
    <xf numFmtId="0" fontId="17" fillId="0" borderId="12" xfId="0" applyFont="1" applyBorder="1" applyAlignment="1">
      <alignment horizontal="left" vertical="center"/>
    </xf>
    <xf numFmtId="0" fontId="9" fillId="9" borderId="12" xfId="3" applyFont="1" applyFill="1" applyBorder="1">
      <alignment vertical="center"/>
    </xf>
    <xf numFmtId="0" fontId="0" fillId="0" borderId="0" xfId="3" applyFont="1">
      <alignment vertical="center"/>
    </xf>
    <xf numFmtId="0" fontId="18" fillId="14" borderId="12" xfId="3" applyFont="1" applyFill="1" applyBorder="1">
      <alignment vertical="center"/>
    </xf>
    <xf numFmtId="0" fontId="0" fillId="0" borderId="0" xfId="0" applyAlignment="1"/>
    <xf numFmtId="0" fontId="19" fillId="0" borderId="12" xfId="0" applyFont="1" applyBorder="1" applyAlignment="1">
      <alignment horizontal="left"/>
    </xf>
    <xf numFmtId="0" fontId="19" fillId="15" borderId="12" xfId="0" applyFont="1" applyFill="1" applyBorder="1" applyAlignment="1">
      <alignment horizontal="left"/>
    </xf>
    <xf numFmtId="0" fontId="9" fillId="0" borderId="12" xfId="0" applyFont="1" applyBorder="1" applyAlignment="1">
      <alignment horizontal="left"/>
    </xf>
    <xf numFmtId="0" fontId="9" fillId="16" borderId="12" xfId="0" applyFont="1" applyFill="1" applyBorder="1" applyAlignment="1">
      <alignment horizontal="left"/>
    </xf>
    <xf numFmtId="0" fontId="9" fillId="15" borderId="12" xfId="3" applyFont="1" applyFill="1" applyBorder="1">
      <alignment vertical="center"/>
    </xf>
    <xf numFmtId="0" fontId="9" fillId="0" borderId="12" xfId="0" applyFont="1" applyBorder="1" applyAlignment="1">
      <alignment horizontal="left" vertical="center"/>
    </xf>
    <xf numFmtId="0" fontId="9" fillId="0" borderId="12" xfId="0" applyFont="1" applyBorder="1" applyAlignment="1">
      <alignment horizontal="center" vertical="center"/>
    </xf>
    <xf numFmtId="0" fontId="7" fillId="0" borderId="0" xfId="4" applyAlignment="1"/>
    <xf numFmtId="0" fontId="7" fillId="0" borderId="0" xfId="4" applyBorder="1" applyAlignment="1"/>
    <xf numFmtId="0" fontId="7" fillId="0" borderId="0" xfId="4">
      <alignment vertical="center"/>
    </xf>
    <xf numFmtId="0" fontId="7" fillId="0" borderId="12" xfId="4" applyBorder="1" applyAlignment="1"/>
    <xf numFmtId="0" fontId="7" fillId="10" borderId="12" xfId="4" applyFill="1" applyBorder="1" applyAlignment="1"/>
    <xf numFmtId="0" fontId="7" fillId="0" borderId="12" xfId="4" applyBorder="1" applyAlignment="1">
      <alignment horizontal="left"/>
    </xf>
    <xf numFmtId="0" fontId="7" fillId="10" borderId="12" xfId="4" applyFill="1" applyBorder="1" applyAlignment="1">
      <alignment horizontal="right"/>
    </xf>
    <xf numFmtId="0" fontId="7" fillId="3" borderId="12" xfId="4" applyFill="1" applyBorder="1" applyAlignment="1">
      <alignment horizontal="right"/>
    </xf>
    <xf numFmtId="0" fontId="7" fillId="4" borderId="12" xfId="4" applyFill="1" applyBorder="1" applyAlignment="1"/>
    <xf numFmtId="0" fontId="7" fillId="0" borderId="12" xfId="4" applyFill="1" applyBorder="1" applyAlignment="1"/>
    <xf numFmtId="0" fontId="14" fillId="9" borderId="12" xfId="4" applyFont="1" applyFill="1" applyBorder="1" applyAlignment="1"/>
    <xf numFmtId="0" fontId="9" fillId="0" borderId="12" xfId="2" applyFont="1" applyBorder="1" applyAlignment="1">
      <alignment vertical="center"/>
    </xf>
    <xf numFmtId="0" fontId="14" fillId="0" borderId="12" xfId="2" applyFont="1" applyBorder="1" applyAlignment="1">
      <alignment vertical="center"/>
    </xf>
    <xf numFmtId="0" fontId="7" fillId="0" borderId="12" xfId="4" applyBorder="1" applyAlignment="1">
      <alignment horizontal="right"/>
    </xf>
    <xf numFmtId="177" fontId="14" fillId="9" borderId="12" xfId="4" applyNumberFormat="1" applyFont="1" applyFill="1" applyBorder="1" applyAlignment="1"/>
    <xf numFmtId="0" fontId="17" fillId="0" borderId="12" xfId="2" applyFont="1" applyBorder="1" applyAlignment="1">
      <alignment vertical="center"/>
    </xf>
    <xf numFmtId="0" fontId="14" fillId="0" borderId="12" xfId="2" applyNumberFormat="1" applyFont="1" applyBorder="1" applyAlignment="1">
      <alignment vertical="center"/>
    </xf>
    <xf numFmtId="0" fontId="17" fillId="0" borderId="12" xfId="2" applyNumberFormat="1" applyFont="1" applyBorder="1" applyAlignment="1">
      <alignment vertical="center"/>
    </xf>
    <xf numFmtId="0" fontId="7" fillId="4" borderId="12" xfId="4" applyFill="1" applyBorder="1" applyAlignment="1">
      <alignment horizontal="right"/>
    </xf>
    <xf numFmtId="0" fontId="14" fillId="13" borderId="12" xfId="2" applyNumberFormat="1" applyFont="1" applyFill="1" applyBorder="1" applyAlignment="1">
      <alignment vertical="center"/>
    </xf>
    <xf numFmtId="0" fontId="7" fillId="13" borderId="12" xfId="4" applyFill="1" applyBorder="1" applyAlignment="1"/>
    <xf numFmtId="0" fontId="14" fillId="14" borderId="12" xfId="4" applyFont="1" applyFill="1" applyBorder="1" applyAlignment="1"/>
    <xf numFmtId="0" fontId="7" fillId="0" borderId="12" xfId="4" applyFill="1" applyBorder="1" applyAlignment="1">
      <alignment horizontal="right"/>
    </xf>
    <xf numFmtId="0" fontId="7" fillId="0" borderId="12" xfId="4" applyFont="1" applyBorder="1" applyAlignment="1"/>
    <xf numFmtId="0" fontId="8" fillId="14" borderId="12" xfId="4" applyFont="1" applyFill="1" applyBorder="1" applyAlignment="1"/>
    <xf numFmtId="1" fontId="14" fillId="0" borderId="12" xfId="2" applyNumberFormat="1" applyFont="1" applyBorder="1" applyAlignment="1">
      <alignment vertical="center"/>
    </xf>
    <xf numFmtId="0" fontId="7" fillId="0" borderId="12" xfId="5" applyFont="1" applyBorder="1" applyAlignment="1"/>
    <xf numFmtId="0" fontId="7" fillId="0" borderId="12" xfId="5" applyBorder="1" applyAlignment="1"/>
    <xf numFmtId="184" fontId="7" fillId="0" borderId="12" xfId="4" applyNumberFormat="1" applyBorder="1" applyAlignment="1"/>
    <xf numFmtId="177" fontId="17" fillId="10" borderId="12" xfId="2" applyNumberFormat="1" applyFont="1" applyFill="1" applyBorder="1" applyAlignment="1">
      <alignment vertical="center"/>
    </xf>
    <xf numFmtId="0" fontId="7" fillId="9" borderId="12" xfId="5" applyFill="1" applyBorder="1" applyAlignment="1"/>
    <xf numFmtId="0" fontId="7" fillId="9" borderId="12" xfId="4" applyFill="1" applyBorder="1" applyAlignment="1"/>
    <xf numFmtId="0" fontId="7" fillId="0" borderId="0" xfId="4" applyFill="1" applyBorder="1" applyAlignment="1"/>
    <xf numFmtId="177" fontId="17" fillId="9" borderId="12" xfId="2" applyNumberFormat="1" applyFont="1" applyFill="1" applyBorder="1" applyAlignment="1">
      <alignment vertical="center"/>
    </xf>
    <xf numFmtId="184" fontId="7" fillId="0" borderId="0" xfId="4" applyNumberFormat="1" applyAlignment="1"/>
    <xf numFmtId="179" fontId="17" fillId="0" borderId="12" xfId="2" applyNumberFormat="1" applyFont="1" applyBorder="1" applyAlignment="1">
      <alignment vertical="center"/>
    </xf>
    <xf numFmtId="0" fontId="7" fillId="0" borderId="16" xfId="4" applyFill="1" applyBorder="1" applyAlignment="1"/>
    <xf numFmtId="0" fontId="7" fillId="0" borderId="0" xfId="4" applyFont="1" applyAlignment="1"/>
    <xf numFmtId="0" fontId="14" fillId="0" borderId="0" xfId="4" applyFont="1" applyAlignment="1"/>
    <xf numFmtId="181" fontId="18" fillId="14" borderId="12" xfId="2" applyNumberFormat="1" applyFont="1" applyFill="1" applyBorder="1" applyAlignment="1">
      <alignment vertical="center"/>
    </xf>
    <xf numFmtId="177" fontId="18" fillId="14" borderId="12" xfId="2" applyNumberFormat="1" applyFont="1" applyFill="1" applyBorder="1" applyAlignment="1">
      <alignment vertical="center"/>
    </xf>
    <xf numFmtId="0" fontId="7" fillId="0" borderId="11" xfId="4" applyFill="1" applyBorder="1" applyAlignment="1"/>
    <xf numFmtId="177" fontId="7" fillId="0" borderId="0" xfId="4" applyNumberFormat="1" applyAlignment="1"/>
    <xf numFmtId="0" fontId="7" fillId="0" borderId="12" xfId="4" applyFont="1" applyBorder="1" applyAlignment="1">
      <alignment horizontal="right"/>
    </xf>
    <xf numFmtId="0" fontId="7" fillId="0" borderId="14" xfId="4" applyBorder="1" applyAlignment="1"/>
    <xf numFmtId="0" fontId="7" fillId="13" borderId="12" xfId="5" applyFont="1" applyFill="1" applyBorder="1" applyAlignment="1"/>
    <xf numFmtId="0" fontId="18" fillId="9" borderId="0" xfId="4" applyFont="1" applyFill="1" applyAlignment="1"/>
    <xf numFmtId="184" fontId="7" fillId="0" borderId="17" xfId="4" applyNumberFormat="1" applyBorder="1" applyAlignment="1"/>
    <xf numFmtId="0" fontId="7" fillId="0" borderId="0" xfId="4" applyFill="1" applyAlignment="1"/>
    <xf numFmtId="0" fontId="18" fillId="4" borderId="12" xfId="4" applyFont="1" applyFill="1" applyBorder="1" applyAlignment="1"/>
    <xf numFmtId="0" fontId="7" fillId="0" borderId="0" xfId="4" applyFont="1" applyBorder="1" applyAlignment="1"/>
    <xf numFmtId="0" fontId="7" fillId="13" borderId="12" xfId="4" applyFont="1" applyFill="1" applyBorder="1" applyAlignment="1"/>
    <xf numFmtId="0" fontId="7" fillId="14" borderId="12" xfId="4" applyFill="1" applyBorder="1" applyAlignment="1"/>
    <xf numFmtId="0" fontId="18" fillId="14" borderId="0" xfId="4" applyFont="1" applyFill="1" applyBorder="1" applyAlignment="1"/>
    <xf numFmtId="0" fontId="7" fillId="13" borderId="0" xfId="4" applyFill="1" applyBorder="1" applyAlignment="1"/>
    <xf numFmtId="0" fontId="7" fillId="0" borderId="17" xfId="4" applyBorder="1" applyAlignment="1"/>
    <xf numFmtId="0" fontId="7" fillId="16" borderId="12" xfId="4" applyFont="1" applyFill="1" applyBorder="1" applyAlignment="1"/>
    <xf numFmtId="0" fontId="7" fillId="16" borderId="12" xfId="4" applyFill="1" applyBorder="1" applyAlignment="1"/>
    <xf numFmtId="0" fontId="7" fillId="17" borderId="12" xfId="4" applyFill="1" applyBorder="1" applyAlignment="1"/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2" borderId="12" xfId="0" applyFill="1" applyBorder="1" applyAlignment="1">
      <alignment vertical="center"/>
    </xf>
    <xf numFmtId="0" fontId="0" fillId="0" borderId="12" xfId="0" applyFill="1" applyBorder="1" applyAlignment="1">
      <alignment vertical="center"/>
    </xf>
    <xf numFmtId="0" fontId="8" fillId="0" borderId="12" xfId="0" applyFont="1" applyFill="1" applyBorder="1" applyAlignment="1">
      <alignment vertical="center"/>
    </xf>
    <xf numFmtId="0" fontId="0" fillId="13" borderId="12" xfId="0" applyFill="1" applyBorder="1" applyAlignment="1">
      <alignment vertical="center"/>
    </xf>
    <xf numFmtId="0" fontId="5" fillId="0" borderId="12" xfId="0" applyFont="1" applyBorder="1" applyAlignment="1">
      <alignment vertical="center"/>
    </xf>
    <xf numFmtId="0" fontId="0" fillId="0" borderId="12" xfId="0" applyBorder="1">
      <alignment vertical="center"/>
    </xf>
    <xf numFmtId="0" fontId="8" fillId="13" borderId="12" xfId="0" applyFont="1" applyFill="1" applyBorder="1" applyAlignment="1">
      <alignment vertical="center"/>
    </xf>
    <xf numFmtId="0" fontId="0" fillId="13" borderId="12" xfId="0" applyFill="1" applyBorder="1" applyAlignment="1">
      <alignment horizontal="right" vertical="center"/>
    </xf>
    <xf numFmtId="176" fontId="0" fillId="13" borderId="12" xfId="0" applyNumberFormat="1" applyFill="1" applyBorder="1" applyAlignment="1">
      <alignment vertical="center"/>
    </xf>
    <xf numFmtId="0" fontId="0" fillId="13" borderId="12" xfId="0" applyFill="1" applyBorder="1">
      <alignment vertical="center"/>
    </xf>
    <xf numFmtId="0" fontId="0" fillId="12" borderId="12" xfId="0" applyFill="1" applyBorder="1" applyAlignment="1">
      <alignment vertical="center"/>
    </xf>
    <xf numFmtId="0" fontId="8" fillId="12" borderId="12" xfId="0" applyFont="1" applyFill="1" applyBorder="1" applyAlignment="1">
      <alignment vertical="center"/>
    </xf>
    <xf numFmtId="0" fontId="16" fillId="12" borderId="12" xfId="0" applyFont="1" applyFill="1" applyBorder="1" applyAlignment="1">
      <alignment vertical="center"/>
    </xf>
    <xf numFmtId="185" fontId="0" fillId="0" borderId="12" xfId="0" applyNumberFormat="1" applyBorder="1" applyAlignment="1">
      <alignment vertical="center"/>
    </xf>
    <xf numFmtId="2" fontId="0" fillId="0" borderId="12" xfId="0" applyNumberFormat="1" applyBorder="1" applyAlignment="1">
      <alignment vertical="center"/>
    </xf>
    <xf numFmtId="2" fontId="0" fillId="10" borderId="12" xfId="0" applyNumberFormat="1" applyFill="1" applyBorder="1" applyAlignment="1">
      <alignment vertical="center"/>
    </xf>
    <xf numFmtId="2" fontId="0" fillId="9" borderId="12" xfId="0" applyNumberFormat="1" applyFill="1" applyBorder="1" applyAlignment="1">
      <alignment vertical="center"/>
    </xf>
    <xf numFmtId="2" fontId="18" fillId="9" borderId="12" xfId="0" applyNumberFormat="1" applyFont="1" applyFill="1" applyBorder="1" applyAlignment="1">
      <alignment vertical="center"/>
    </xf>
    <xf numFmtId="2" fontId="0" fillId="0" borderId="12" xfId="0" applyNumberFormat="1" applyFill="1" applyBorder="1" applyAlignment="1">
      <alignment vertical="center"/>
    </xf>
    <xf numFmtId="2" fontId="0" fillId="13" borderId="12" xfId="0" applyNumberFormat="1" applyFill="1" applyBorder="1" applyAlignment="1">
      <alignment horizontal="right" vertical="center"/>
    </xf>
    <xf numFmtId="2" fontId="0" fillId="13" borderId="12" xfId="0" applyNumberFormat="1" applyFill="1" applyBorder="1" applyAlignment="1">
      <alignment vertical="center"/>
    </xf>
    <xf numFmtId="2" fontId="16" fillId="10" borderId="12" xfId="0" applyNumberFormat="1" applyFont="1" applyFill="1" applyBorder="1" applyAlignment="1">
      <alignment vertical="center"/>
    </xf>
    <xf numFmtId="2" fontId="9" fillId="0" borderId="12" xfId="0" applyNumberFormat="1" applyFont="1" applyBorder="1" applyAlignment="1">
      <alignment vertical="center"/>
    </xf>
    <xf numFmtId="2" fontId="9" fillId="13" borderId="12" xfId="0" applyNumberFormat="1" applyFont="1" applyFill="1" applyBorder="1" applyAlignment="1">
      <alignment vertical="center"/>
    </xf>
    <xf numFmtId="2" fontId="14" fillId="9" borderId="12" xfId="0" applyNumberFormat="1" applyFont="1" applyFill="1" applyBorder="1" applyAlignment="1">
      <alignment vertical="center"/>
    </xf>
    <xf numFmtId="2" fontId="9" fillId="9" borderId="12" xfId="0" applyNumberFormat="1" applyFont="1" applyFill="1" applyBorder="1" applyAlignment="1">
      <alignment vertical="center"/>
    </xf>
    <xf numFmtId="2" fontId="0" fillId="0" borderId="12" xfId="0" applyNumberFormat="1" applyBorder="1">
      <alignment vertical="center"/>
    </xf>
    <xf numFmtId="2" fontId="14" fillId="13" borderId="12" xfId="0" applyNumberFormat="1" applyFont="1" applyFill="1" applyBorder="1" applyAlignment="1">
      <alignment vertical="center"/>
    </xf>
    <xf numFmtId="184" fontId="0" fillId="0" borderId="12" xfId="0" applyNumberFormat="1" applyBorder="1" applyAlignment="1">
      <alignment vertical="center"/>
    </xf>
    <xf numFmtId="184" fontId="0" fillId="10" borderId="12" xfId="0" applyNumberFormat="1" applyFill="1" applyBorder="1" applyAlignment="1">
      <alignment vertical="center"/>
    </xf>
    <xf numFmtId="184" fontId="0" fillId="9" borderId="12" xfId="0" applyNumberFormat="1" applyFill="1" applyBorder="1" applyAlignment="1">
      <alignment vertical="center"/>
    </xf>
    <xf numFmtId="184" fontId="8" fillId="9" borderId="12" xfId="0" applyNumberFormat="1" applyFont="1" applyFill="1" applyBorder="1" applyAlignment="1">
      <alignment vertical="center"/>
    </xf>
    <xf numFmtId="184" fontId="18" fillId="9" borderId="12" xfId="0" applyNumberFormat="1" applyFont="1" applyFill="1" applyBorder="1" applyAlignment="1">
      <alignment vertical="center"/>
    </xf>
    <xf numFmtId="184" fontId="14" fillId="9" borderId="12" xfId="0" applyNumberFormat="1" applyFont="1" applyFill="1" applyBorder="1" applyAlignment="1">
      <alignment vertical="center"/>
    </xf>
    <xf numFmtId="184" fontId="9" fillId="18" borderId="12" xfId="0" applyNumberFormat="1" applyFont="1" applyFill="1" applyBorder="1" applyAlignment="1">
      <alignment vertical="center"/>
    </xf>
    <xf numFmtId="184" fontId="16" fillId="9" borderId="12" xfId="0" applyNumberFormat="1" applyFont="1" applyFill="1" applyBorder="1" applyAlignment="1">
      <alignment vertical="center"/>
    </xf>
    <xf numFmtId="1" fontId="0" fillId="0" borderId="12" xfId="0" applyNumberFormat="1" applyBorder="1" applyAlignment="1">
      <alignment vertical="center"/>
    </xf>
    <xf numFmtId="1" fontId="0" fillId="10" borderId="12" xfId="0" applyNumberFormat="1" applyFill="1" applyBorder="1" applyAlignment="1">
      <alignment vertical="center"/>
    </xf>
    <xf numFmtId="0" fontId="17" fillId="13" borderId="12" xfId="0" applyFont="1" applyFill="1" applyBorder="1" applyAlignment="1">
      <alignment vertical="center"/>
    </xf>
    <xf numFmtId="2" fontId="0" fillId="4" borderId="12" xfId="0" applyNumberFormat="1" applyFill="1" applyBorder="1" applyAlignment="1">
      <alignment vertical="center"/>
    </xf>
    <xf numFmtId="2" fontId="14" fillId="4" borderId="12" xfId="0" applyNumberFormat="1" applyFont="1" applyFill="1" applyBorder="1" applyAlignment="1">
      <alignment vertical="center"/>
    </xf>
    <xf numFmtId="1" fontId="16" fillId="10" borderId="12" xfId="0" applyNumberFormat="1" applyFont="1" applyFill="1" applyBorder="1" applyAlignment="1">
      <alignment vertical="center"/>
    </xf>
    <xf numFmtId="1" fontId="9" fillId="0" borderId="12" xfId="0" applyNumberFormat="1" applyFont="1" applyBorder="1" applyAlignment="1">
      <alignment vertical="center"/>
    </xf>
    <xf numFmtId="184" fontId="0" fillId="18" borderId="12" xfId="0" applyNumberFormat="1" applyFill="1" applyBorder="1" applyAlignment="1">
      <alignment vertical="center"/>
    </xf>
    <xf numFmtId="184" fontId="0" fillId="11" borderId="12" xfId="0" applyNumberFormat="1" applyFill="1" applyBorder="1" applyAlignment="1">
      <alignment vertical="center"/>
    </xf>
    <xf numFmtId="184" fontId="0" fillId="9" borderId="12" xfId="0" applyNumberFormat="1" applyFont="1" applyFill="1" applyBorder="1" applyAlignment="1">
      <alignment vertical="center"/>
    </xf>
    <xf numFmtId="1" fontId="18" fillId="9" borderId="12" xfId="0" applyNumberFormat="1" applyFont="1" applyFill="1" applyBorder="1" applyAlignment="1">
      <alignment vertical="center"/>
    </xf>
    <xf numFmtId="2" fontId="14" fillId="10" borderId="12" xfId="0" applyNumberFormat="1" applyFont="1" applyFill="1" applyBorder="1" applyAlignment="1">
      <alignment vertical="center"/>
    </xf>
    <xf numFmtId="184" fontId="0" fillId="10" borderId="12" xfId="0" applyNumberFormat="1" applyFont="1" applyFill="1" applyBorder="1" applyAlignment="1">
      <alignment vertical="center"/>
    </xf>
    <xf numFmtId="0" fontId="18" fillId="9" borderId="12" xfId="0" applyFont="1" applyFill="1" applyBorder="1">
      <alignment vertical="center"/>
    </xf>
    <xf numFmtId="2" fontId="0" fillId="11" borderId="12" xfId="0" applyNumberFormat="1" applyFill="1" applyBorder="1" applyAlignment="1">
      <alignment vertical="center"/>
    </xf>
    <xf numFmtId="184" fontId="0" fillId="11" borderId="12" xfId="0" applyNumberFormat="1" applyFill="1" applyBorder="1" applyAlignment="1">
      <alignment horizontal="right" vertical="center"/>
    </xf>
    <xf numFmtId="184" fontId="14" fillId="10" borderId="12" xfId="0" applyNumberFormat="1" applyFont="1" applyFill="1" applyBorder="1" applyAlignment="1">
      <alignment vertical="center"/>
    </xf>
    <xf numFmtId="1" fontId="0" fillId="11" borderId="12" xfId="0" applyNumberFormat="1" applyFill="1" applyBorder="1" applyAlignment="1">
      <alignment vertical="center"/>
    </xf>
    <xf numFmtId="186" fontId="9" fillId="0" borderId="12" xfId="0" applyNumberFormat="1" applyFont="1" applyBorder="1" applyAlignment="1">
      <alignment vertical="center"/>
    </xf>
    <xf numFmtId="0" fontId="9" fillId="0" borderId="12" xfId="2" applyFont="1" applyBorder="1"/>
    <xf numFmtId="0" fontId="9" fillId="10" borderId="12" xfId="2" applyFont="1" applyFill="1" applyBorder="1"/>
    <xf numFmtId="0" fontId="9" fillId="10" borderId="12" xfId="2" applyFont="1" applyFill="1" applyBorder="1" applyAlignment="1">
      <alignment horizontal="right"/>
    </xf>
    <xf numFmtId="0" fontId="9" fillId="9" borderId="12" xfId="2" applyFont="1" applyFill="1" applyBorder="1" applyAlignment="1">
      <alignment horizontal="right"/>
    </xf>
    <xf numFmtId="0" fontId="18" fillId="0" borderId="12" xfId="2" applyFont="1" applyBorder="1"/>
    <xf numFmtId="0" fontId="9" fillId="15" borderId="12" xfId="2" applyFont="1" applyFill="1" applyBorder="1" applyAlignment="1">
      <alignment horizontal="right"/>
    </xf>
    <xf numFmtId="0" fontId="16" fillId="9" borderId="12" xfId="2" applyFont="1" applyFill="1" applyBorder="1" applyAlignment="1">
      <alignment horizontal="right"/>
    </xf>
    <xf numFmtId="0" fontId="18" fillId="9" borderId="12" xfId="2" applyFont="1" applyFill="1" applyBorder="1" applyAlignment="1">
      <alignment horizontal="right"/>
    </xf>
    <xf numFmtId="0" fontId="16" fillId="10" borderId="12" xfId="2" applyFont="1" applyFill="1" applyBorder="1" applyAlignment="1">
      <alignment horizontal="right"/>
    </xf>
    <xf numFmtId="177" fontId="18" fillId="9" borderId="12" xfId="2" applyNumberFormat="1" applyFont="1" applyFill="1" applyBorder="1"/>
    <xf numFmtId="0" fontId="9" fillId="0" borderId="12" xfId="2" applyFont="1" applyFill="1" applyBorder="1"/>
    <xf numFmtId="177" fontId="9" fillId="9" borderId="12" xfId="2" applyNumberFormat="1" applyFont="1" applyFill="1" applyBorder="1"/>
    <xf numFmtId="184" fontId="0" fillId="0" borderId="12" xfId="0" applyNumberFormat="1" applyBorder="1">
      <alignment vertical="center"/>
    </xf>
    <xf numFmtId="186" fontId="0" fillId="0" borderId="12" xfId="0" applyNumberFormat="1" applyBorder="1" applyAlignment="1">
      <alignment vertical="center"/>
    </xf>
    <xf numFmtId="186" fontId="0" fillId="9" borderId="12" xfId="0" applyNumberFormat="1" applyFill="1" applyBorder="1" applyAlignment="1">
      <alignment vertical="center"/>
    </xf>
    <xf numFmtId="2" fontId="0" fillId="0" borderId="12" xfId="0" applyNumberFormat="1" applyBorder="1" applyAlignment="1">
      <alignment horizontal="left" vertical="center"/>
    </xf>
    <xf numFmtId="186" fontId="9" fillId="13" borderId="6" xfId="2" applyNumberFormat="1" applyFont="1" applyFill="1" applyBorder="1" applyAlignment="1">
      <alignment horizontal="left" vertical="center"/>
    </xf>
    <xf numFmtId="186" fontId="9" fillId="13" borderId="6" xfId="2" applyNumberFormat="1" applyFont="1" applyFill="1" applyBorder="1" applyAlignment="1">
      <alignment horizontal="left"/>
    </xf>
    <xf numFmtId="186" fontId="0" fillId="10" borderId="12" xfId="0" applyNumberFormat="1" applyFill="1" applyBorder="1" applyAlignment="1">
      <alignment vertical="center"/>
    </xf>
    <xf numFmtId="0" fontId="9" fillId="0" borderId="19" xfId="0" applyFont="1" applyFill="1" applyBorder="1" applyAlignment="1">
      <alignment vertical="center"/>
    </xf>
    <xf numFmtId="0" fontId="0" fillId="0" borderId="0" xfId="0" applyAlignment="1">
      <alignment vertical="center" wrapText="1"/>
    </xf>
    <xf numFmtId="185" fontId="9" fillId="0" borderId="12" xfId="0" applyNumberFormat="1" applyFont="1" applyBorder="1" applyAlignment="1">
      <alignment vertical="center"/>
    </xf>
    <xf numFmtId="185" fontId="9" fillId="13" borderId="12" xfId="0" applyNumberFormat="1" applyFont="1" applyFill="1" applyBorder="1" applyAlignment="1">
      <alignment vertical="center"/>
    </xf>
    <xf numFmtId="2" fontId="17" fillId="9" borderId="12" xfId="0" applyNumberFormat="1" applyFont="1" applyFill="1" applyBorder="1" applyAlignment="1">
      <alignment vertical="center"/>
    </xf>
    <xf numFmtId="185" fontId="0" fillId="9" borderId="12" xfId="0" applyNumberFormat="1" applyFill="1" applyBorder="1" applyAlignment="1">
      <alignment vertical="center"/>
    </xf>
    <xf numFmtId="185" fontId="18" fillId="9" borderId="12" xfId="0" applyNumberFormat="1" applyFont="1" applyFill="1" applyBorder="1" applyAlignment="1">
      <alignment vertical="center"/>
    </xf>
    <xf numFmtId="0" fontId="18" fillId="0" borderId="12" xfId="0" applyFont="1" applyBorder="1" applyAlignment="1">
      <alignment vertical="center"/>
    </xf>
    <xf numFmtId="2" fontId="17" fillId="0" borderId="12" xfId="0" applyNumberFormat="1" applyFont="1" applyBorder="1" applyAlignment="1">
      <alignment vertical="center"/>
    </xf>
    <xf numFmtId="185" fontId="0" fillId="10" borderId="12" xfId="0" applyNumberFormat="1" applyFill="1" applyBorder="1" applyAlignment="1">
      <alignment vertical="center"/>
    </xf>
    <xf numFmtId="187" fontId="0" fillId="0" borderId="12" xfId="0" applyNumberFormat="1" applyBorder="1" applyAlignment="1">
      <alignment vertical="center"/>
    </xf>
    <xf numFmtId="0" fontId="21" fillId="0" borderId="1" xfId="2" applyFont="1" applyBorder="1" applyAlignment="1">
      <alignment vertical="center"/>
    </xf>
    <xf numFmtId="0" fontId="21" fillId="0" borderId="1" xfId="2" applyFont="1" applyBorder="1" applyAlignment="1">
      <alignment horizontal="center" vertical="center"/>
    </xf>
    <xf numFmtId="0" fontId="21" fillId="0" borderId="1" xfId="2" applyFont="1" applyBorder="1" applyAlignment="1">
      <alignment horizontal="left" vertical="center"/>
    </xf>
    <xf numFmtId="0" fontId="21" fillId="13" borderId="21" xfId="2" applyFont="1" applyFill="1" applyBorder="1" applyAlignment="1">
      <alignment vertical="center"/>
    </xf>
    <xf numFmtId="0" fontId="21" fillId="13" borderId="22" xfId="2" applyFont="1" applyFill="1" applyBorder="1" applyAlignment="1">
      <alignment vertical="center"/>
    </xf>
    <xf numFmtId="0" fontId="22" fillId="13" borderId="21" xfId="0" applyFont="1" applyFill="1" applyBorder="1" applyAlignment="1">
      <alignment vertical="center"/>
    </xf>
    <xf numFmtId="0" fontId="21" fillId="13" borderId="21" xfId="0" applyFont="1" applyFill="1" applyBorder="1" applyAlignment="1">
      <alignment vertical="center"/>
    </xf>
    <xf numFmtId="0" fontId="19" fillId="13" borderId="21" xfId="0" applyFont="1" applyFill="1" applyBorder="1">
      <alignment vertical="center"/>
    </xf>
    <xf numFmtId="0" fontId="21" fillId="13" borderId="21" xfId="2" applyFont="1" applyFill="1" applyBorder="1" applyAlignment="1">
      <alignment vertical="center" wrapText="1"/>
    </xf>
    <xf numFmtId="22" fontId="21" fillId="13" borderId="21" xfId="2" applyNumberFormat="1" applyFont="1" applyFill="1" applyBorder="1" applyAlignment="1">
      <alignment vertical="center"/>
    </xf>
    <xf numFmtId="0" fontId="21" fillId="0" borderId="21" xfId="2" applyFont="1" applyBorder="1" applyAlignment="1">
      <alignment vertical="center"/>
    </xf>
    <xf numFmtId="0" fontId="21" fillId="0" borderId="23" xfId="2" applyFont="1" applyBorder="1" applyAlignment="1">
      <alignment vertical="center"/>
    </xf>
    <xf numFmtId="0" fontId="23" fillId="0" borderId="21" xfId="2" applyFont="1" applyBorder="1" applyAlignment="1">
      <alignment vertical="center" wrapText="1"/>
    </xf>
    <xf numFmtId="0" fontId="21" fillId="0" borderId="24" xfId="2" applyFont="1" applyBorder="1" applyAlignment="1">
      <alignment vertical="center"/>
    </xf>
    <xf numFmtId="0" fontId="0" fillId="0" borderId="25" xfId="0" applyBorder="1">
      <alignment vertical="center"/>
    </xf>
    <xf numFmtId="0" fontId="0" fillId="0" borderId="26" xfId="0" applyBorder="1">
      <alignment vertical="center"/>
    </xf>
    <xf numFmtId="0" fontId="0" fillId="0" borderId="27" xfId="0" applyBorder="1">
      <alignment vertical="center"/>
    </xf>
    <xf numFmtId="0" fontId="0" fillId="18" borderId="28" xfId="0" applyFill="1" applyBorder="1">
      <alignment vertical="center"/>
    </xf>
    <xf numFmtId="0" fontId="0" fillId="18" borderId="12" xfId="0" applyFill="1" applyBorder="1">
      <alignment vertical="center"/>
    </xf>
    <xf numFmtId="0" fontId="0" fillId="18" borderId="12" xfId="1" applyNumberFormat="1" applyFont="1" applyFill="1" applyBorder="1">
      <alignment vertical="center"/>
    </xf>
    <xf numFmtId="0" fontId="0" fillId="18" borderId="29" xfId="0" applyFill="1" applyBorder="1">
      <alignment vertical="center"/>
    </xf>
    <xf numFmtId="0" fontId="0" fillId="18" borderId="12" xfId="0" applyNumberFormat="1" applyFill="1" applyBorder="1">
      <alignment vertical="center"/>
    </xf>
    <xf numFmtId="41" fontId="0" fillId="18" borderId="28" xfId="1" applyFont="1" applyFill="1" applyBorder="1">
      <alignment vertical="center"/>
    </xf>
    <xf numFmtId="41" fontId="0" fillId="18" borderId="12" xfId="1" applyFont="1" applyFill="1" applyBorder="1">
      <alignment vertical="center"/>
    </xf>
    <xf numFmtId="43" fontId="0" fillId="18" borderId="12" xfId="0" applyNumberFormat="1" applyFill="1" applyBorder="1">
      <alignment vertical="center"/>
    </xf>
    <xf numFmtId="43" fontId="0" fillId="18" borderId="29" xfId="0" applyNumberFormat="1" applyFill="1" applyBorder="1">
      <alignment vertical="center"/>
    </xf>
    <xf numFmtId="0" fontId="0" fillId="0" borderId="0" xfId="0" applyNumberFormat="1">
      <alignment vertical="center"/>
    </xf>
    <xf numFmtId="41" fontId="0" fillId="13" borderId="28" xfId="1" applyFont="1" applyFill="1" applyBorder="1">
      <alignment vertical="center"/>
    </xf>
    <xf numFmtId="41" fontId="0" fillId="13" borderId="12" xfId="1" applyFont="1" applyFill="1" applyBorder="1">
      <alignment vertical="center"/>
    </xf>
    <xf numFmtId="0" fontId="0" fillId="13" borderId="12" xfId="0" applyNumberFormat="1" applyFill="1" applyBorder="1">
      <alignment vertical="center"/>
    </xf>
    <xf numFmtId="43" fontId="0" fillId="13" borderId="12" xfId="0" applyNumberFormat="1" applyFill="1" applyBorder="1">
      <alignment vertical="center"/>
    </xf>
    <xf numFmtId="43" fontId="0" fillId="13" borderId="29" xfId="0" applyNumberFormat="1" applyFill="1" applyBorder="1">
      <alignment vertical="center"/>
    </xf>
    <xf numFmtId="0" fontId="0" fillId="10" borderId="28" xfId="0" applyFill="1" applyBorder="1">
      <alignment vertical="center"/>
    </xf>
    <xf numFmtId="0" fontId="0" fillId="10" borderId="12" xfId="0" applyFill="1" applyBorder="1">
      <alignment vertical="center"/>
    </xf>
    <xf numFmtId="0" fontId="18" fillId="10" borderId="12" xfId="1" applyNumberFormat="1" applyFont="1" applyFill="1" applyBorder="1">
      <alignment vertical="center"/>
    </xf>
    <xf numFmtId="0" fontId="0" fillId="10" borderId="12" xfId="0" applyNumberFormat="1" applyFill="1" applyBorder="1">
      <alignment vertical="center"/>
    </xf>
    <xf numFmtId="0" fontId="0" fillId="10" borderId="29" xfId="0" applyFill="1" applyBorder="1">
      <alignment vertical="center"/>
    </xf>
    <xf numFmtId="0" fontId="0" fillId="10" borderId="28" xfId="0" applyNumberFormat="1" applyFill="1" applyBorder="1">
      <alignment vertical="center"/>
    </xf>
    <xf numFmtId="0" fontId="0" fillId="10" borderId="29" xfId="0" applyNumberFormat="1" applyFill="1" applyBorder="1">
      <alignment vertical="center"/>
    </xf>
    <xf numFmtId="0" fontId="0" fillId="10" borderId="28" xfId="1" applyNumberFormat="1" applyFont="1" applyFill="1" applyBorder="1">
      <alignment vertical="center"/>
    </xf>
    <xf numFmtId="0" fontId="0" fillId="10" borderId="12" xfId="1" applyNumberFormat="1" applyFont="1" applyFill="1" applyBorder="1">
      <alignment vertical="center"/>
    </xf>
    <xf numFmtId="185" fontId="0" fillId="10" borderId="12" xfId="0" applyNumberFormat="1" applyFill="1" applyBorder="1">
      <alignment vertical="center"/>
    </xf>
    <xf numFmtId="0" fontId="18" fillId="0" borderId="0" xfId="0" applyNumberFormat="1" applyFont="1">
      <alignment vertical="center"/>
    </xf>
    <xf numFmtId="0" fontId="0" fillId="0" borderId="28" xfId="0" applyBorder="1">
      <alignment vertical="center"/>
    </xf>
    <xf numFmtId="0" fontId="0" fillId="0" borderId="12" xfId="0" applyNumberFormat="1" applyBorder="1">
      <alignment vertical="center"/>
    </xf>
    <xf numFmtId="0" fontId="0" fillId="0" borderId="29" xfId="0" applyBorder="1">
      <alignment vertical="center"/>
    </xf>
    <xf numFmtId="0" fontId="0" fillId="3" borderId="28" xfId="0" applyFill="1" applyBorder="1">
      <alignment vertical="center"/>
    </xf>
    <xf numFmtId="0" fontId="0" fillId="3" borderId="12" xfId="0" applyFill="1" applyBorder="1">
      <alignment vertical="center"/>
    </xf>
    <xf numFmtId="0" fontId="18" fillId="3" borderId="12" xfId="1" applyNumberFormat="1" applyFont="1" applyFill="1" applyBorder="1">
      <alignment vertical="center"/>
    </xf>
    <xf numFmtId="0" fontId="0" fillId="3" borderId="12" xfId="0" applyNumberFormat="1" applyFill="1" applyBorder="1">
      <alignment vertical="center"/>
    </xf>
    <xf numFmtId="0" fontId="0" fillId="3" borderId="29" xfId="0" applyFill="1" applyBorder="1">
      <alignment vertical="center"/>
    </xf>
    <xf numFmtId="0" fontId="0" fillId="3" borderId="28" xfId="0" applyNumberFormat="1" applyFill="1" applyBorder="1">
      <alignment vertical="center"/>
    </xf>
    <xf numFmtId="0" fontId="0" fillId="3" borderId="29" xfId="0" applyNumberFormat="1" applyFill="1" applyBorder="1">
      <alignment vertical="center"/>
    </xf>
    <xf numFmtId="0" fontId="18" fillId="0" borderId="0" xfId="0" applyFont="1">
      <alignment vertical="center"/>
    </xf>
    <xf numFmtId="0" fontId="0" fillId="3" borderId="28" xfId="1" applyNumberFormat="1" applyFont="1" applyFill="1" applyBorder="1">
      <alignment vertical="center"/>
    </xf>
    <xf numFmtId="0" fontId="0" fillId="3" borderId="12" xfId="1" applyNumberFormat="1" applyFont="1" applyFill="1" applyBorder="1">
      <alignment vertical="center"/>
    </xf>
    <xf numFmtId="182" fontId="19" fillId="13" borderId="23" xfId="0" applyNumberFormat="1" applyFont="1" applyFill="1" applyBorder="1" applyAlignment="1">
      <alignment horizontal="left" vertical="center"/>
    </xf>
    <xf numFmtId="0" fontId="9" fillId="9" borderId="1" xfId="2" applyFont="1" applyFill="1" applyBorder="1" applyAlignment="1">
      <alignment horizontal="center" vertical="center"/>
    </xf>
    <xf numFmtId="0" fontId="9" fillId="9" borderId="3" xfId="2" applyFont="1" applyFill="1" applyBorder="1" applyAlignment="1">
      <alignment horizontal="center" vertical="center"/>
    </xf>
    <xf numFmtId="0" fontId="9" fillId="10" borderId="1" xfId="2" applyFont="1" applyFill="1" applyBorder="1" applyAlignment="1">
      <alignment horizontal="center" vertical="center"/>
    </xf>
    <xf numFmtId="0" fontId="9" fillId="10" borderId="3" xfId="2" applyFont="1" applyFill="1" applyBorder="1" applyAlignment="1">
      <alignment horizontal="center" vertical="center"/>
    </xf>
    <xf numFmtId="0" fontId="9" fillId="9" borderId="2" xfId="2" applyFont="1" applyFill="1" applyBorder="1" applyAlignment="1">
      <alignment horizontal="center" vertical="center"/>
    </xf>
    <xf numFmtId="0" fontId="9" fillId="9" borderId="4" xfId="2" applyFont="1" applyFill="1" applyBorder="1" applyAlignment="1">
      <alignment horizontal="center" vertical="center"/>
    </xf>
    <xf numFmtId="0" fontId="9" fillId="11" borderId="1" xfId="2" applyFont="1" applyFill="1" applyBorder="1" applyAlignment="1">
      <alignment horizontal="center" vertical="center"/>
    </xf>
    <xf numFmtId="0" fontId="9" fillId="11" borderId="3" xfId="2" applyFont="1" applyFill="1" applyBorder="1" applyAlignment="1">
      <alignment horizontal="center" vertical="center"/>
    </xf>
    <xf numFmtId="0" fontId="9" fillId="8" borderId="1" xfId="2" applyFont="1" applyFill="1" applyBorder="1" applyAlignment="1">
      <alignment horizontal="center" vertical="center"/>
    </xf>
    <xf numFmtId="0" fontId="9" fillId="8" borderId="3" xfId="2" applyFont="1" applyFill="1" applyBorder="1" applyAlignment="1">
      <alignment horizontal="center" vertical="center"/>
    </xf>
    <xf numFmtId="0" fontId="16" fillId="0" borderId="0" xfId="3" applyFont="1" applyAlignment="1">
      <alignment horizontal="left" vertical="center"/>
    </xf>
    <xf numFmtId="0" fontId="16" fillId="0" borderId="11" xfId="0" applyFont="1" applyBorder="1" applyAlignment="1">
      <alignment horizontal="left"/>
    </xf>
    <xf numFmtId="0" fontId="16" fillId="0" borderId="11" xfId="3" applyFont="1" applyBorder="1" applyAlignment="1">
      <alignment horizontal="left" vertical="center"/>
    </xf>
    <xf numFmtId="0" fontId="9" fillId="15" borderId="12" xfId="0" applyFont="1" applyFill="1" applyBorder="1" applyAlignment="1">
      <alignment horizontal="center" vertical="center"/>
    </xf>
    <xf numFmtId="0" fontId="20" fillId="0" borderId="0" xfId="4" applyFont="1" applyAlignment="1">
      <alignment horizontal="center"/>
    </xf>
    <xf numFmtId="0" fontId="7" fillId="0" borderId="13" xfId="5" applyFont="1" applyBorder="1" applyAlignment="1">
      <alignment horizontal="center"/>
    </xf>
    <xf numFmtId="0" fontId="7" fillId="0" borderId="14" xfId="5" applyFont="1" applyBorder="1" applyAlignment="1">
      <alignment horizontal="center"/>
    </xf>
    <xf numFmtId="0" fontId="7" fillId="0" borderId="15" xfId="5" applyFont="1" applyBorder="1" applyAlignment="1">
      <alignment horizontal="center"/>
    </xf>
    <xf numFmtId="0" fontId="9" fillId="0" borderId="18" xfId="2" applyFont="1" applyBorder="1" applyAlignment="1">
      <alignment horizontal="center" vertical="center"/>
    </xf>
    <xf numFmtId="0" fontId="9" fillId="0" borderId="19" xfId="2" applyFont="1" applyBorder="1" applyAlignment="1">
      <alignment horizontal="center" vertical="center"/>
    </xf>
    <xf numFmtId="0" fontId="9" fillId="0" borderId="20" xfId="2" applyFont="1" applyBorder="1" applyAlignment="1">
      <alignment horizontal="center" vertical="center"/>
    </xf>
    <xf numFmtId="0" fontId="9" fillId="0" borderId="12" xfId="2" applyFont="1" applyBorder="1" applyAlignment="1">
      <alignment horizontal="center" vertical="center"/>
    </xf>
    <xf numFmtId="0" fontId="21" fillId="13" borderId="23" xfId="2" applyFont="1" applyFill="1" applyBorder="1" applyAlignment="1">
      <alignment horizontal="center" vertical="center"/>
    </xf>
    <xf numFmtId="0" fontId="21" fillId="13" borderId="30" xfId="2" applyFont="1" applyFill="1" applyBorder="1" applyAlignment="1">
      <alignment horizontal="center" vertical="center"/>
    </xf>
    <xf numFmtId="0" fontId="21" fillId="13" borderId="22" xfId="2" applyFont="1" applyFill="1" applyBorder="1" applyAlignment="1">
      <alignment horizontal="center" vertical="center"/>
    </xf>
    <xf numFmtId="0" fontId="21" fillId="13" borderId="23" xfId="2" applyFont="1" applyFill="1" applyBorder="1" applyAlignment="1">
      <alignment vertical="center"/>
    </xf>
    <xf numFmtId="0" fontId="24" fillId="13" borderId="21" xfId="2" applyFont="1" applyFill="1" applyBorder="1" applyAlignment="1">
      <alignment vertical="center" wrapText="1"/>
    </xf>
    <xf numFmtId="0" fontId="24" fillId="13" borderId="21" xfId="0" applyFont="1" applyFill="1" applyBorder="1" applyAlignment="1">
      <alignment horizontal="left" vertical="center"/>
    </xf>
    <xf numFmtId="0" fontId="24" fillId="13" borderId="21" xfId="2" applyFont="1" applyFill="1" applyBorder="1" applyAlignment="1">
      <alignment vertical="center"/>
    </xf>
    <xf numFmtId="0" fontId="21" fillId="13" borderId="24" xfId="2" applyFont="1" applyFill="1" applyBorder="1" applyAlignment="1">
      <alignment vertical="center"/>
    </xf>
  </cellXfs>
  <cellStyles count="6">
    <cellStyle name="쉼표 [0]" xfId="1" builtinId="6"/>
    <cellStyle name="표준" xfId="0" builtinId="0"/>
    <cellStyle name="표준 2" xfId="2"/>
    <cellStyle name="표준 2 2" xfId="4"/>
    <cellStyle name="표준 2 3" xfId="5"/>
    <cellStyle name="표준_20080312_동작점설계_해송_150MF" xfId="3"/>
  </cellStyles>
  <dxfs count="0"/>
  <tableStyles count="0" defaultTableStyle="TableStyleMedium9" defaultPivotStyle="PivotStyleLight16"/>
  <colors>
    <mruColors>
      <color rgb="FFFFFF8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0</xdr:colOff>
      <xdr:row>19</xdr:row>
      <xdr:rowOff>0</xdr:rowOff>
    </xdr:from>
    <xdr:to>
      <xdr:col>23</xdr:col>
      <xdr:colOff>514350</xdr:colOff>
      <xdr:row>30</xdr:row>
      <xdr:rowOff>104775</xdr:rowOff>
    </xdr:to>
    <xdr:pic>
      <xdr:nvPicPr>
        <xdr:cNvPr id="2" name="그림 1"/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906500" y="3981450"/>
          <a:ext cx="2571750" cy="2409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9525</xdr:colOff>
          <xdr:row>13</xdr:row>
          <xdr:rowOff>19050</xdr:rowOff>
        </xdr:from>
        <xdr:to>
          <xdr:col>6</xdr:col>
          <xdr:colOff>161925</xdr:colOff>
          <xdr:row>16</xdr:row>
          <xdr:rowOff>57150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5</xdr:row>
          <xdr:rowOff>0</xdr:rowOff>
        </xdr:from>
        <xdr:to>
          <xdr:col>4</xdr:col>
          <xdr:colOff>228600</xdr:colOff>
          <xdr:row>8</xdr:row>
          <xdr:rowOff>57150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5</xdr:row>
          <xdr:rowOff>0</xdr:rowOff>
        </xdr:from>
        <xdr:to>
          <xdr:col>6</xdr:col>
          <xdr:colOff>152400</xdr:colOff>
          <xdr:row>8</xdr:row>
          <xdr:rowOff>38100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19050</xdr:colOff>
          <xdr:row>5</xdr:row>
          <xdr:rowOff>19050</xdr:rowOff>
        </xdr:from>
        <xdr:to>
          <xdr:col>8</xdr:col>
          <xdr:colOff>171450</xdr:colOff>
          <xdr:row>8</xdr:row>
          <xdr:rowOff>57150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28575</xdr:colOff>
          <xdr:row>5</xdr:row>
          <xdr:rowOff>9525</xdr:rowOff>
        </xdr:from>
        <xdr:to>
          <xdr:col>2</xdr:col>
          <xdr:colOff>180975</xdr:colOff>
          <xdr:row>8</xdr:row>
          <xdr:rowOff>47625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19050</xdr:colOff>
          <xdr:row>13</xdr:row>
          <xdr:rowOff>19050</xdr:rowOff>
        </xdr:from>
        <xdr:to>
          <xdr:col>2</xdr:col>
          <xdr:colOff>171450</xdr:colOff>
          <xdr:row>16</xdr:row>
          <xdr:rowOff>57150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</xdr:colOff>
          <xdr:row>13</xdr:row>
          <xdr:rowOff>19050</xdr:rowOff>
        </xdr:from>
        <xdr:to>
          <xdr:col>4</xdr:col>
          <xdr:colOff>161925</xdr:colOff>
          <xdr:row>16</xdr:row>
          <xdr:rowOff>57150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1557705</xdr:colOff>
      <xdr:row>18</xdr:row>
      <xdr:rowOff>58555</xdr:rowOff>
    </xdr:from>
    <xdr:to>
      <xdr:col>13</xdr:col>
      <xdr:colOff>1651260</xdr:colOff>
      <xdr:row>18</xdr:row>
      <xdr:rowOff>148340</xdr:rowOff>
    </xdr:to>
    <xdr:sp macro="" textlink="">
      <xdr:nvSpPr>
        <xdr:cNvPr id="2" name="타원 1"/>
        <xdr:cNvSpPr/>
      </xdr:nvSpPr>
      <xdr:spPr>
        <a:xfrm>
          <a:off x="13806855" y="3830455"/>
          <a:ext cx="93555" cy="897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1695356</xdr:colOff>
      <xdr:row>18</xdr:row>
      <xdr:rowOff>55621</xdr:rowOff>
    </xdr:from>
    <xdr:to>
      <xdr:col>13</xdr:col>
      <xdr:colOff>1786806</xdr:colOff>
      <xdr:row>18</xdr:row>
      <xdr:rowOff>147459</xdr:rowOff>
    </xdr:to>
    <xdr:sp macro="" textlink="">
      <xdr:nvSpPr>
        <xdr:cNvPr id="3" name="타원 2"/>
        <xdr:cNvSpPr/>
      </xdr:nvSpPr>
      <xdr:spPr>
        <a:xfrm>
          <a:off x="13944506" y="3827521"/>
          <a:ext cx="91450" cy="91838"/>
        </a:xfrm>
        <a:prstGeom prst="ellipse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1557705</xdr:colOff>
      <xdr:row>22</xdr:row>
      <xdr:rowOff>56203</xdr:rowOff>
    </xdr:from>
    <xdr:to>
      <xdr:col>13</xdr:col>
      <xdr:colOff>1651260</xdr:colOff>
      <xdr:row>22</xdr:row>
      <xdr:rowOff>148340</xdr:rowOff>
    </xdr:to>
    <xdr:sp macro="" textlink="">
      <xdr:nvSpPr>
        <xdr:cNvPr id="4" name="타원 3"/>
        <xdr:cNvSpPr/>
      </xdr:nvSpPr>
      <xdr:spPr>
        <a:xfrm>
          <a:off x="13806855" y="4666303"/>
          <a:ext cx="93555" cy="9213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1690298</xdr:colOff>
      <xdr:row>22</xdr:row>
      <xdr:rowOff>54429</xdr:rowOff>
    </xdr:from>
    <xdr:to>
      <xdr:col>13</xdr:col>
      <xdr:colOff>1779854</xdr:colOff>
      <xdr:row>22</xdr:row>
      <xdr:rowOff>140533</xdr:rowOff>
    </xdr:to>
    <xdr:sp macro="" textlink="">
      <xdr:nvSpPr>
        <xdr:cNvPr id="5" name="타원 4"/>
        <xdr:cNvSpPr/>
      </xdr:nvSpPr>
      <xdr:spPr>
        <a:xfrm>
          <a:off x="13939448" y="4664529"/>
          <a:ext cx="89556" cy="86104"/>
        </a:xfrm>
        <a:prstGeom prst="ellipse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1819409</xdr:colOff>
      <xdr:row>22</xdr:row>
      <xdr:rowOff>53245</xdr:rowOff>
    </xdr:from>
    <xdr:to>
      <xdr:col>13</xdr:col>
      <xdr:colOff>1912964</xdr:colOff>
      <xdr:row>22</xdr:row>
      <xdr:rowOff>144592</xdr:rowOff>
    </xdr:to>
    <xdr:sp macro="" textlink="">
      <xdr:nvSpPr>
        <xdr:cNvPr id="6" name="타원 5"/>
        <xdr:cNvSpPr/>
      </xdr:nvSpPr>
      <xdr:spPr>
        <a:xfrm>
          <a:off x="14068559" y="4663345"/>
          <a:ext cx="93555" cy="9134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1950107</xdr:colOff>
      <xdr:row>22</xdr:row>
      <xdr:rowOff>54428</xdr:rowOff>
    </xdr:from>
    <xdr:to>
      <xdr:col>13</xdr:col>
      <xdr:colOff>2047875</xdr:colOff>
      <xdr:row>22</xdr:row>
      <xdr:rowOff>146277</xdr:rowOff>
    </xdr:to>
    <xdr:sp macro="" textlink="">
      <xdr:nvSpPr>
        <xdr:cNvPr id="7" name="타원 6"/>
        <xdr:cNvSpPr/>
      </xdr:nvSpPr>
      <xdr:spPr>
        <a:xfrm>
          <a:off x="14199257" y="4664528"/>
          <a:ext cx="97768" cy="91849"/>
        </a:xfrm>
        <a:prstGeom prst="ellipse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1553159</xdr:colOff>
      <xdr:row>26</xdr:row>
      <xdr:rowOff>23664</xdr:rowOff>
    </xdr:from>
    <xdr:to>
      <xdr:col>13</xdr:col>
      <xdr:colOff>1632857</xdr:colOff>
      <xdr:row>26</xdr:row>
      <xdr:rowOff>94657</xdr:rowOff>
    </xdr:to>
    <xdr:sp macro="" textlink="">
      <xdr:nvSpPr>
        <xdr:cNvPr id="8" name="타원 7"/>
        <xdr:cNvSpPr/>
      </xdr:nvSpPr>
      <xdr:spPr>
        <a:xfrm>
          <a:off x="13802309" y="5471964"/>
          <a:ext cx="79698" cy="7099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1668030</xdr:colOff>
      <xdr:row>26</xdr:row>
      <xdr:rowOff>23230</xdr:rowOff>
    </xdr:from>
    <xdr:to>
      <xdr:col>13</xdr:col>
      <xdr:colOff>1738638</xdr:colOff>
      <xdr:row>26</xdr:row>
      <xdr:rowOff>91335</xdr:rowOff>
    </xdr:to>
    <xdr:sp macro="" textlink="">
      <xdr:nvSpPr>
        <xdr:cNvPr id="9" name="타원 8"/>
        <xdr:cNvSpPr/>
      </xdr:nvSpPr>
      <xdr:spPr>
        <a:xfrm>
          <a:off x="13917180" y="5471530"/>
          <a:ext cx="70608" cy="68105"/>
        </a:xfrm>
        <a:prstGeom prst="ellipse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1664555</xdr:colOff>
      <xdr:row>26</xdr:row>
      <xdr:rowOff>120160</xdr:rowOff>
    </xdr:from>
    <xdr:to>
      <xdr:col>13</xdr:col>
      <xdr:colOff>1737784</xdr:colOff>
      <xdr:row>26</xdr:row>
      <xdr:rowOff>184948</xdr:rowOff>
    </xdr:to>
    <xdr:sp macro="" textlink="">
      <xdr:nvSpPr>
        <xdr:cNvPr id="10" name="타원 9"/>
        <xdr:cNvSpPr/>
      </xdr:nvSpPr>
      <xdr:spPr>
        <a:xfrm>
          <a:off x="13913705" y="5568460"/>
          <a:ext cx="73229" cy="647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1556525</xdr:colOff>
      <xdr:row>26</xdr:row>
      <xdr:rowOff>124239</xdr:rowOff>
    </xdr:from>
    <xdr:to>
      <xdr:col>13</xdr:col>
      <xdr:colOff>1627839</xdr:colOff>
      <xdr:row>26</xdr:row>
      <xdr:rowOff>185853</xdr:rowOff>
    </xdr:to>
    <xdr:sp macro="" textlink="">
      <xdr:nvSpPr>
        <xdr:cNvPr id="11" name="타원 10"/>
        <xdr:cNvSpPr/>
      </xdr:nvSpPr>
      <xdr:spPr>
        <a:xfrm>
          <a:off x="13805675" y="5572539"/>
          <a:ext cx="71314" cy="61614"/>
        </a:xfrm>
        <a:prstGeom prst="ellipse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19050</xdr:colOff>
          <xdr:row>4</xdr:row>
          <xdr:rowOff>19050</xdr:rowOff>
        </xdr:from>
        <xdr:to>
          <xdr:col>11</xdr:col>
          <xdr:colOff>619125</xdr:colOff>
          <xdr:row>12</xdr:row>
          <xdr:rowOff>95250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4.bin"/><Relationship Id="rId3" Type="http://schemas.openxmlformats.org/officeDocument/2006/relationships/vmlDrawing" Target="../drawings/vmlDrawing1.vml"/><Relationship Id="rId7" Type="http://schemas.openxmlformats.org/officeDocument/2006/relationships/oleObject" Target="../embeddings/oleObject3.bin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11" Type="http://schemas.openxmlformats.org/officeDocument/2006/relationships/oleObject" Target="../embeddings/oleObject7.bin"/><Relationship Id="rId5" Type="http://schemas.openxmlformats.org/officeDocument/2006/relationships/image" Target="../media/image2.emf"/><Relationship Id="rId10" Type="http://schemas.openxmlformats.org/officeDocument/2006/relationships/oleObject" Target="../embeddings/oleObject6.bin"/><Relationship Id="rId4" Type="http://schemas.openxmlformats.org/officeDocument/2006/relationships/oleObject" Target="../embeddings/oleObject1.bin"/><Relationship Id="rId9" Type="http://schemas.openxmlformats.org/officeDocument/2006/relationships/oleObject" Target="../embeddings/oleObject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Relationship Id="rId5" Type="http://schemas.openxmlformats.org/officeDocument/2006/relationships/image" Target="../media/image3.emf"/><Relationship Id="rId4" Type="http://schemas.openxmlformats.org/officeDocument/2006/relationships/oleObject" Target="../embeddings/oleObject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29"/>
  <sheetViews>
    <sheetView tabSelected="1" workbookViewId="0">
      <selection activeCell="C10" sqref="C10"/>
    </sheetView>
  </sheetViews>
  <sheetFormatPr defaultRowHeight="13.5" x14ac:dyDescent="0.15"/>
  <cols>
    <col min="1" max="1" width="9" style="58"/>
    <col min="2" max="2" width="32" style="58" customWidth="1"/>
    <col min="3" max="3" width="78.25" style="58" bestFit="1" customWidth="1"/>
    <col min="4" max="4" width="76.875" style="58" customWidth="1"/>
    <col min="5" max="5" width="9.75" style="58" customWidth="1"/>
    <col min="6" max="6" width="8.875" style="58" customWidth="1"/>
    <col min="7" max="16384" width="9" style="58"/>
  </cols>
  <sheetData>
    <row r="2" spans="2:4" ht="14.25" thickBot="1" x14ac:dyDescent="0.2"/>
    <row r="3" spans="2:4" ht="14.25" thickBot="1" x14ac:dyDescent="0.2">
      <c r="B3" s="275" t="s">
        <v>1056</v>
      </c>
      <c r="C3" s="276" t="s">
        <v>1109</v>
      </c>
      <c r="D3" s="276" t="s">
        <v>1057</v>
      </c>
    </row>
    <row r="4" spans="2:4" ht="14.25" thickBot="1" x14ac:dyDescent="0.2">
      <c r="B4" s="277" t="s">
        <v>1058</v>
      </c>
      <c r="C4" s="275" t="s">
        <v>1110</v>
      </c>
      <c r="D4" s="275"/>
    </row>
    <row r="5" spans="2:4" x14ac:dyDescent="0.15">
      <c r="B5" s="278" t="s">
        <v>1059</v>
      </c>
      <c r="C5" s="279" t="s">
        <v>1111</v>
      </c>
      <c r="D5" s="279"/>
    </row>
    <row r="6" spans="2:4" x14ac:dyDescent="0.15">
      <c r="B6" s="278" t="s">
        <v>1060</v>
      </c>
      <c r="C6" s="279" t="s">
        <v>1112</v>
      </c>
      <c r="D6" s="279" t="s">
        <v>1061</v>
      </c>
    </row>
    <row r="7" spans="2:4" x14ac:dyDescent="0.15">
      <c r="B7" s="278" t="s">
        <v>1062</v>
      </c>
      <c r="C7" s="278" t="s">
        <v>1113</v>
      </c>
      <c r="D7" s="279"/>
    </row>
    <row r="8" spans="2:4" x14ac:dyDescent="0.15">
      <c r="B8" s="278" t="s">
        <v>1063</v>
      </c>
      <c r="C8" s="278" t="s">
        <v>1114</v>
      </c>
      <c r="D8" s="279"/>
    </row>
    <row r="9" spans="2:4" x14ac:dyDescent="0.15">
      <c r="B9" s="278" t="s">
        <v>1064</v>
      </c>
      <c r="C9" s="278" t="s">
        <v>1115</v>
      </c>
      <c r="D9" s="279"/>
    </row>
    <row r="10" spans="2:4" x14ac:dyDescent="0.15">
      <c r="B10" s="280" t="s">
        <v>1065</v>
      </c>
      <c r="C10" s="278" t="s">
        <v>1116</v>
      </c>
      <c r="D10" s="279" t="s">
        <v>1117</v>
      </c>
    </row>
    <row r="11" spans="2:4" x14ac:dyDescent="0.15">
      <c r="B11" s="281" t="s">
        <v>881</v>
      </c>
      <c r="C11" s="279" t="s">
        <v>1066</v>
      </c>
      <c r="D11" s="279"/>
    </row>
    <row r="12" spans="2:4" x14ac:dyDescent="0.15">
      <c r="B12" s="281" t="s">
        <v>882</v>
      </c>
      <c r="C12" s="279" t="s">
        <v>1118</v>
      </c>
      <c r="D12" s="279"/>
    </row>
    <row r="13" spans="2:4" x14ac:dyDescent="0.15">
      <c r="B13" s="278" t="s">
        <v>1067</v>
      </c>
      <c r="C13" s="278" t="s">
        <v>1119</v>
      </c>
      <c r="D13" s="278" t="s">
        <v>1068</v>
      </c>
    </row>
    <row r="14" spans="2:4" x14ac:dyDescent="0.15">
      <c r="B14" s="278" t="s">
        <v>1069</v>
      </c>
      <c r="C14" s="354" t="s">
        <v>1124</v>
      </c>
      <c r="D14" s="278"/>
    </row>
    <row r="15" spans="2:4" x14ac:dyDescent="0.15">
      <c r="B15" s="278" t="s">
        <v>1070</v>
      </c>
      <c r="C15" s="355"/>
      <c r="D15" s="278"/>
    </row>
    <row r="16" spans="2:4" x14ac:dyDescent="0.15">
      <c r="B16" s="278" t="s">
        <v>1071</v>
      </c>
      <c r="C16" s="355"/>
      <c r="D16" s="278"/>
    </row>
    <row r="17" spans="2:4" x14ac:dyDescent="0.15">
      <c r="B17" s="278" t="s">
        <v>1072</v>
      </c>
      <c r="C17" s="355"/>
      <c r="D17" s="360" t="s">
        <v>1138</v>
      </c>
    </row>
    <row r="18" spans="2:4" x14ac:dyDescent="0.15">
      <c r="B18" s="278" t="s">
        <v>1073</v>
      </c>
      <c r="C18" s="356"/>
      <c r="D18" s="278"/>
    </row>
    <row r="19" spans="2:4" x14ac:dyDescent="0.15">
      <c r="B19" s="357" t="s">
        <v>1074</v>
      </c>
      <c r="C19" s="357" t="s">
        <v>1120</v>
      </c>
      <c r="D19" s="357" t="s">
        <v>1075</v>
      </c>
    </row>
    <row r="20" spans="2:4" x14ac:dyDescent="0.15">
      <c r="B20" s="282" t="s">
        <v>1121</v>
      </c>
      <c r="C20" s="282" t="s">
        <v>1122</v>
      </c>
      <c r="D20" s="283"/>
    </row>
    <row r="21" spans="2:4" ht="24" customHeight="1" x14ac:dyDescent="0.15">
      <c r="B21" s="331" t="s">
        <v>1123</v>
      </c>
      <c r="C21" s="359" t="s">
        <v>1127</v>
      </c>
      <c r="D21" s="358" t="s">
        <v>1126</v>
      </c>
    </row>
    <row r="22" spans="2:4" x14ac:dyDescent="0.15">
      <c r="B22" s="278" t="s">
        <v>1076</v>
      </c>
      <c r="C22" s="360" t="s">
        <v>1129</v>
      </c>
      <c r="D22" s="278"/>
    </row>
    <row r="23" spans="2:4" x14ac:dyDescent="0.15">
      <c r="B23" s="278" t="s">
        <v>1077</v>
      </c>
      <c r="C23" s="284" t="s">
        <v>1130</v>
      </c>
      <c r="D23" s="283" t="s">
        <v>1131</v>
      </c>
    </row>
    <row r="24" spans="2:4" x14ac:dyDescent="0.15">
      <c r="B24" s="282" t="s">
        <v>1078</v>
      </c>
      <c r="C24" s="282" t="s">
        <v>1140</v>
      </c>
      <c r="D24" s="283" t="s">
        <v>1141</v>
      </c>
    </row>
    <row r="25" spans="2:4" x14ac:dyDescent="0.15">
      <c r="B25" s="285" t="s">
        <v>1079</v>
      </c>
      <c r="C25" s="283" t="s">
        <v>1132</v>
      </c>
      <c r="D25" s="278"/>
    </row>
    <row r="26" spans="2:4" ht="45" customHeight="1" x14ac:dyDescent="0.15">
      <c r="B26" s="286" t="s">
        <v>1080</v>
      </c>
      <c r="C26" s="283" t="s">
        <v>1133</v>
      </c>
      <c r="D26" s="358" t="s">
        <v>1139</v>
      </c>
    </row>
    <row r="27" spans="2:4" x14ac:dyDescent="0.15">
      <c r="B27" s="285" t="s">
        <v>1081</v>
      </c>
      <c r="C27" s="283" t="s">
        <v>1134</v>
      </c>
      <c r="D27" s="283"/>
    </row>
    <row r="28" spans="2:4" ht="13.5" customHeight="1" x14ac:dyDescent="0.15">
      <c r="B28" s="287" t="s">
        <v>1082</v>
      </c>
      <c r="C28" s="283" t="s">
        <v>1135</v>
      </c>
      <c r="D28" s="283" t="s">
        <v>1136</v>
      </c>
    </row>
    <row r="29" spans="2:4" ht="14.25" thickBot="1" x14ac:dyDescent="0.2">
      <c r="B29" s="288" t="s">
        <v>1083</v>
      </c>
      <c r="C29" s="361" t="s">
        <v>1137</v>
      </c>
      <c r="D29" s="361"/>
    </row>
  </sheetData>
  <mergeCells count="1">
    <mergeCell ref="C14:C18"/>
  </mergeCells>
  <phoneticPr fontId="1" type="noConversion"/>
  <pageMargins left="0.7" right="0.7" top="0.75" bottom="0.75" header="0.3" footer="0.3"/>
  <pageSetup paperSize="9" orientation="portrait" horizontalDpi="4294967293" verticalDpi="4294967293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46"/>
  <sheetViews>
    <sheetView zoomScale="76" zoomScaleNormal="76" workbookViewId="0">
      <selection activeCell="G8" sqref="G8"/>
    </sheetView>
  </sheetViews>
  <sheetFormatPr defaultRowHeight="13.5" x14ac:dyDescent="0.15"/>
  <cols>
    <col min="1" max="1" width="9" style="58"/>
    <col min="2" max="2" width="17.5" style="58" customWidth="1"/>
    <col min="3" max="3" width="50.375" style="58" bestFit="1" customWidth="1"/>
    <col min="4" max="4" width="10" style="58" bestFit="1" customWidth="1"/>
    <col min="5" max="6" width="9" style="58"/>
    <col min="7" max="7" width="68.75" style="58" bestFit="1" customWidth="1"/>
    <col min="8" max="16384" width="9" style="58"/>
  </cols>
  <sheetData>
    <row r="2" spans="2:7" x14ac:dyDescent="0.15">
      <c r="D2" s="58" t="s">
        <v>876</v>
      </c>
      <c r="E2" s="58" t="s">
        <v>876</v>
      </c>
    </row>
    <row r="3" spans="2:7" ht="16.5" x14ac:dyDescent="0.3">
      <c r="B3" s="245"/>
      <c r="C3" s="245"/>
      <c r="D3" s="245" t="s">
        <v>791</v>
      </c>
      <c r="E3" s="245" t="s">
        <v>792</v>
      </c>
      <c r="F3" s="245"/>
      <c r="G3" s="245" t="s">
        <v>793</v>
      </c>
    </row>
    <row r="4" spans="2:7" ht="16.5" x14ac:dyDescent="0.3">
      <c r="B4" s="245"/>
      <c r="C4" s="245" t="s">
        <v>794</v>
      </c>
      <c r="D4" s="246">
        <v>0</v>
      </c>
      <c r="E4" s="246">
        <v>32</v>
      </c>
      <c r="F4" s="245" t="s">
        <v>795</v>
      </c>
      <c r="G4" s="245" t="s">
        <v>796</v>
      </c>
    </row>
    <row r="5" spans="2:7" ht="16.5" x14ac:dyDescent="0.3">
      <c r="B5" s="353" t="s">
        <v>797</v>
      </c>
      <c r="C5" s="245" t="s">
        <v>798</v>
      </c>
      <c r="D5" s="247">
        <v>0</v>
      </c>
      <c r="E5" s="247">
        <v>0.65</v>
      </c>
      <c r="F5" s="245" t="s">
        <v>799</v>
      </c>
      <c r="G5" s="245" t="s">
        <v>800</v>
      </c>
    </row>
    <row r="6" spans="2:7" ht="16.5" x14ac:dyDescent="0.3">
      <c r="B6" s="353"/>
      <c r="C6" s="245" t="s">
        <v>801</v>
      </c>
      <c r="D6" s="247">
        <v>0</v>
      </c>
      <c r="E6" s="247">
        <v>20</v>
      </c>
      <c r="F6" s="245" t="s">
        <v>802</v>
      </c>
      <c r="G6" s="245" t="s">
        <v>803</v>
      </c>
    </row>
    <row r="7" spans="2:7" ht="16.5" x14ac:dyDescent="0.3">
      <c r="B7" s="353"/>
      <c r="C7" s="245" t="s">
        <v>804</v>
      </c>
      <c r="D7" s="248">
        <f>D6*D5/1000000*D8*1000</f>
        <v>0</v>
      </c>
      <c r="E7" s="248">
        <f>E6*E5/1000000*E8*1000</f>
        <v>0.32500000000000001</v>
      </c>
      <c r="F7" s="245" t="s">
        <v>660</v>
      </c>
      <c r="G7" s="245"/>
    </row>
    <row r="8" spans="2:7" ht="16.5" x14ac:dyDescent="0.3">
      <c r="B8" s="350" t="s">
        <v>805</v>
      </c>
      <c r="C8" s="245" t="s">
        <v>806</v>
      </c>
      <c r="D8" s="246">
        <v>0</v>
      </c>
      <c r="E8" s="246">
        <v>25</v>
      </c>
      <c r="F8" s="245" t="s">
        <v>807</v>
      </c>
      <c r="G8" s="245" t="s">
        <v>808</v>
      </c>
    </row>
    <row r="9" spans="2:7" ht="16.5" x14ac:dyDescent="0.3">
      <c r="B9" s="351"/>
      <c r="C9" s="245" t="s">
        <v>809</v>
      </c>
      <c r="D9" s="247">
        <v>0</v>
      </c>
      <c r="E9" s="247">
        <v>56</v>
      </c>
      <c r="F9" s="245" t="s">
        <v>810</v>
      </c>
      <c r="G9" s="245" t="s">
        <v>811</v>
      </c>
    </row>
    <row r="10" spans="2:7" ht="16.5" x14ac:dyDescent="0.3">
      <c r="B10" s="351"/>
      <c r="C10" s="245" t="s">
        <v>812</v>
      </c>
      <c r="D10" s="247">
        <v>0</v>
      </c>
      <c r="E10" s="247">
        <v>3.5</v>
      </c>
      <c r="F10" s="245" t="s">
        <v>813</v>
      </c>
      <c r="G10" s="249" t="s">
        <v>814</v>
      </c>
    </row>
    <row r="11" spans="2:7" ht="16.5" x14ac:dyDescent="0.3">
      <c r="B11" s="351"/>
      <c r="C11" s="245" t="s">
        <v>815</v>
      </c>
      <c r="D11" s="250">
        <v>0</v>
      </c>
      <c r="E11" s="250">
        <v>0</v>
      </c>
      <c r="F11" s="245" t="s">
        <v>813</v>
      </c>
      <c r="G11" s="245"/>
    </row>
    <row r="12" spans="2:7" ht="16.5" x14ac:dyDescent="0.3">
      <c r="B12" s="351"/>
      <c r="C12" s="245" t="s">
        <v>816</v>
      </c>
      <c r="D12" s="250">
        <v>0</v>
      </c>
      <c r="E12" s="250">
        <v>0</v>
      </c>
      <c r="F12" s="245" t="s">
        <v>813</v>
      </c>
      <c r="G12" s="245"/>
    </row>
    <row r="13" spans="2:7" ht="16.5" x14ac:dyDescent="0.3">
      <c r="B13" s="351"/>
      <c r="C13" s="245" t="s">
        <v>817</v>
      </c>
      <c r="D13" s="251">
        <f>D10*D8+D11*D8</f>
        <v>0</v>
      </c>
      <c r="E13" s="251">
        <f>E10*E8+E11*E8</f>
        <v>87.5</v>
      </c>
      <c r="F13" s="245" t="s">
        <v>818</v>
      </c>
      <c r="G13" s="245"/>
    </row>
    <row r="14" spans="2:7" ht="16.5" x14ac:dyDescent="0.3">
      <c r="B14" s="351"/>
      <c r="C14" s="245" t="s">
        <v>819</v>
      </c>
      <c r="D14" s="250">
        <f>D8*D12</f>
        <v>0</v>
      </c>
      <c r="E14" s="250">
        <f>E8*E12</f>
        <v>0</v>
      </c>
      <c r="F14" s="245" t="s">
        <v>818</v>
      </c>
      <c r="G14" s="245"/>
    </row>
    <row r="15" spans="2:7" ht="16.5" x14ac:dyDescent="0.3">
      <c r="B15" s="351"/>
      <c r="C15" s="245" t="s">
        <v>820</v>
      </c>
      <c r="D15" s="247">
        <v>100</v>
      </c>
      <c r="E15" s="247">
        <v>90</v>
      </c>
      <c r="F15" s="245" t="s">
        <v>821</v>
      </c>
      <c r="G15" s="249" t="s">
        <v>822</v>
      </c>
    </row>
    <row r="16" spans="2:7" ht="16.5" x14ac:dyDescent="0.3">
      <c r="B16" s="352"/>
      <c r="C16" s="245" t="s">
        <v>823</v>
      </c>
      <c r="D16" s="252">
        <f>D13*D15/100</f>
        <v>0</v>
      </c>
      <c r="E16" s="252">
        <f>E13*E15/100</f>
        <v>78.75</v>
      </c>
      <c r="F16" s="245" t="s">
        <v>818</v>
      </c>
      <c r="G16" s="245"/>
    </row>
    <row r="17" spans="2:7" ht="16.5" x14ac:dyDescent="0.3">
      <c r="B17" s="353" t="s">
        <v>824</v>
      </c>
      <c r="C17" s="245" t="s">
        <v>825</v>
      </c>
      <c r="D17" s="248">
        <f>D4*0.9</f>
        <v>0</v>
      </c>
      <c r="E17" s="248">
        <f>E4*0.9</f>
        <v>28.8</v>
      </c>
      <c r="F17" s="245" t="s">
        <v>810</v>
      </c>
      <c r="G17" s="245"/>
    </row>
    <row r="18" spans="2:7" ht="16.5" x14ac:dyDescent="0.3">
      <c r="B18" s="353"/>
      <c r="C18" s="245" t="s">
        <v>826</v>
      </c>
      <c r="D18" s="247">
        <v>0</v>
      </c>
      <c r="E18" s="247">
        <v>2.75</v>
      </c>
      <c r="F18" s="245" t="s">
        <v>827</v>
      </c>
      <c r="G18" s="249" t="s">
        <v>828</v>
      </c>
    </row>
    <row r="19" spans="2:7" ht="16.5" x14ac:dyDescent="0.3">
      <c r="B19" s="353"/>
      <c r="C19" s="245" t="s">
        <v>829</v>
      </c>
      <c r="D19" s="247">
        <v>0</v>
      </c>
      <c r="E19" s="247">
        <v>1.75</v>
      </c>
      <c r="F19" s="245" t="s">
        <v>827</v>
      </c>
      <c r="G19" s="249" t="s">
        <v>830</v>
      </c>
    </row>
    <row r="20" spans="2:7" ht="16.5" x14ac:dyDescent="0.3">
      <c r="B20" s="353"/>
      <c r="C20" s="245" t="s">
        <v>831</v>
      </c>
      <c r="D20" s="247">
        <v>0</v>
      </c>
      <c r="E20" s="247">
        <v>100</v>
      </c>
      <c r="F20" s="245" t="s">
        <v>821</v>
      </c>
      <c r="G20" s="249" t="s">
        <v>832</v>
      </c>
    </row>
    <row r="21" spans="2:7" ht="16.5" x14ac:dyDescent="0.3">
      <c r="B21" s="353"/>
      <c r="C21" s="245" t="s">
        <v>833</v>
      </c>
      <c r="D21" s="247">
        <v>0</v>
      </c>
      <c r="E21" s="247">
        <v>30</v>
      </c>
      <c r="F21" s="245" t="s">
        <v>834</v>
      </c>
      <c r="G21" s="245" t="s">
        <v>835</v>
      </c>
    </row>
    <row r="22" spans="2:7" ht="16.5" x14ac:dyDescent="0.3">
      <c r="B22" s="353"/>
      <c r="C22" s="245" t="s">
        <v>836</v>
      </c>
      <c r="D22" s="248">
        <f>ROUNDUP((D17*D18*((180-D21)/180))/2,0)</f>
        <v>0</v>
      </c>
      <c r="E22" s="248">
        <f>ROUNDUP((E17*E18*((E20*180/100-E21)/180))/2,0)</f>
        <v>33</v>
      </c>
      <c r="F22" s="245" t="s">
        <v>818</v>
      </c>
      <c r="G22" s="245"/>
    </row>
    <row r="23" spans="2:7" ht="16.5" x14ac:dyDescent="0.3">
      <c r="B23" s="353"/>
      <c r="C23" s="245" t="s">
        <v>837</v>
      </c>
      <c r="D23" s="248">
        <f>ROUNDUP((D17*D19*(D21/180))/2,0)</f>
        <v>0</v>
      </c>
      <c r="E23" s="248">
        <f>ROUNDUP((E17*E19*(1-(E20*180/100-E21)/180))/2,0)</f>
        <v>5</v>
      </c>
      <c r="F23" s="245" t="s">
        <v>818</v>
      </c>
      <c r="G23" s="245"/>
    </row>
    <row r="24" spans="2:7" ht="16.5" x14ac:dyDescent="0.3">
      <c r="B24" s="353"/>
      <c r="C24" s="245" t="s">
        <v>838</v>
      </c>
      <c r="D24" s="252">
        <f>ROUNDUP(((D17*D18*((180-D21)/180))+(D17*D19*(D21/180)))/2,0)</f>
        <v>0</v>
      </c>
      <c r="E24" s="252">
        <f>ROUNDUP(((E17*E18*(((E20*180/100-E21)/180))+(E17*E19*(1-(E20*180/100-E21)/180))))/2,0)</f>
        <v>38</v>
      </c>
      <c r="F24" s="245" t="s">
        <v>818</v>
      </c>
      <c r="G24" s="245"/>
    </row>
    <row r="25" spans="2:7" ht="16.5" x14ac:dyDescent="0.3">
      <c r="B25" s="353" t="s">
        <v>839</v>
      </c>
      <c r="C25" s="245" t="s">
        <v>840</v>
      </c>
      <c r="D25" s="251">
        <f>D16+D22</f>
        <v>0</v>
      </c>
      <c r="E25" s="251">
        <f>E16+E22</f>
        <v>111.75</v>
      </c>
      <c r="F25" s="245" t="s">
        <v>818</v>
      </c>
      <c r="G25" s="245"/>
    </row>
    <row r="26" spans="2:7" ht="16.5" x14ac:dyDescent="0.3">
      <c r="B26" s="353"/>
      <c r="C26" s="245" t="s">
        <v>841</v>
      </c>
      <c r="D26" s="251">
        <f>D23+D14</f>
        <v>0</v>
      </c>
      <c r="E26" s="251">
        <f>E23+E14</f>
        <v>5</v>
      </c>
      <c r="F26" s="245" t="s">
        <v>818</v>
      </c>
      <c r="G26" s="245"/>
    </row>
    <row r="27" spans="2:7" ht="16.5" x14ac:dyDescent="0.3">
      <c r="B27" s="353"/>
      <c r="C27" s="245" t="s">
        <v>842</v>
      </c>
      <c r="D27" s="248">
        <f>ROUNDUP((D7+D16+D24),0)</f>
        <v>0</v>
      </c>
      <c r="E27" s="248">
        <f>ROUNDUP((E7+E16+E24),0)</f>
        <v>118</v>
      </c>
      <c r="F27" s="245" t="s">
        <v>818</v>
      </c>
      <c r="G27" s="245"/>
    </row>
    <row r="28" spans="2:7" ht="16.5" x14ac:dyDescent="0.3">
      <c r="B28" s="353"/>
      <c r="C28" s="245" t="s">
        <v>843</v>
      </c>
      <c r="D28" s="247">
        <v>1</v>
      </c>
      <c r="E28" s="247">
        <v>2</v>
      </c>
      <c r="F28" s="245"/>
      <c r="G28" s="249" t="s">
        <v>844</v>
      </c>
    </row>
    <row r="29" spans="2:7" ht="16.5" x14ac:dyDescent="0.3">
      <c r="B29" s="353"/>
      <c r="C29" s="245" t="s">
        <v>845</v>
      </c>
      <c r="D29" s="252">
        <f>D27*D28</f>
        <v>0</v>
      </c>
      <c r="E29" s="252">
        <f>E27*E28</f>
        <v>236</v>
      </c>
      <c r="F29" s="245" t="s">
        <v>846</v>
      </c>
      <c r="G29" s="245"/>
    </row>
    <row r="30" spans="2:7" ht="16.5" x14ac:dyDescent="0.3">
      <c r="B30" s="353" t="s">
        <v>847</v>
      </c>
      <c r="C30" s="245" t="s">
        <v>848</v>
      </c>
      <c r="D30" s="253"/>
      <c r="E30" s="253">
        <v>690</v>
      </c>
      <c r="F30" s="245" t="s">
        <v>818</v>
      </c>
      <c r="G30" s="245" t="s">
        <v>849</v>
      </c>
    </row>
    <row r="31" spans="2:7" ht="16.5" x14ac:dyDescent="0.3">
      <c r="B31" s="353"/>
      <c r="C31" s="245" t="s">
        <v>850</v>
      </c>
      <c r="D31" s="252" t="e">
        <f>ROUNDUP(D29/D30*100,0)</f>
        <v>#DIV/0!</v>
      </c>
      <c r="E31" s="252">
        <f>ROUNDUP(E29/E30*100,0)</f>
        <v>35</v>
      </c>
      <c r="F31" s="245" t="s">
        <v>821</v>
      </c>
      <c r="G31" s="245"/>
    </row>
    <row r="32" spans="2:7" ht="16.5" x14ac:dyDescent="0.3">
      <c r="B32" s="350" t="s">
        <v>851</v>
      </c>
      <c r="C32" s="245" t="s">
        <v>852</v>
      </c>
      <c r="D32" s="246">
        <v>6.4000000000000001E-2</v>
      </c>
      <c r="E32" s="246">
        <v>6.4000000000000001E-2</v>
      </c>
      <c r="F32" s="245" t="s">
        <v>853</v>
      </c>
      <c r="G32" s="245" t="s">
        <v>849</v>
      </c>
    </row>
    <row r="33" spans="2:7" ht="16.5" x14ac:dyDescent="0.3">
      <c r="B33" s="351"/>
      <c r="C33" s="245" t="s">
        <v>854</v>
      </c>
      <c r="D33" s="246">
        <v>0.1</v>
      </c>
      <c r="E33" s="246">
        <v>0.1</v>
      </c>
      <c r="F33" s="245" t="s">
        <v>853</v>
      </c>
      <c r="G33" s="245" t="s">
        <v>849</v>
      </c>
    </row>
    <row r="34" spans="2:7" ht="16.5" x14ac:dyDescent="0.3">
      <c r="B34" s="351"/>
      <c r="C34" s="245" t="s">
        <v>855</v>
      </c>
      <c r="D34" s="254">
        <f>125-D32*D25</f>
        <v>125</v>
      </c>
      <c r="E34" s="254">
        <f>125-E32*E25</f>
        <v>117.848</v>
      </c>
      <c r="F34" s="255" t="s">
        <v>856</v>
      </c>
      <c r="G34" s="245" t="s">
        <v>857</v>
      </c>
    </row>
    <row r="35" spans="2:7" ht="16.5" x14ac:dyDescent="0.3">
      <c r="B35" s="351"/>
      <c r="C35" s="245" t="s">
        <v>858</v>
      </c>
      <c r="D35" s="256">
        <f>125-D33*D26</f>
        <v>125</v>
      </c>
      <c r="E35" s="256">
        <f>125-E33*E26</f>
        <v>124.5</v>
      </c>
      <c r="F35" s="255" t="s">
        <v>856</v>
      </c>
      <c r="G35" s="245"/>
    </row>
    <row r="36" spans="2:7" ht="16.5" x14ac:dyDescent="0.3">
      <c r="B36" s="351"/>
      <c r="C36" s="245" t="s">
        <v>859</v>
      </c>
      <c r="D36" s="256">
        <f>D32*D25</f>
        <v>0</v>
      </c>
      <c r="E36" s="256">
        <f>E32*E25</f>
        <v>7.1520000000000001</v>
      </c>
      <c r="F36" s="255" t="s">
        <v>856</v>
      </c>
      <c r="G36" s="245"/>
    </row>
    <row r="37" spans="2:7" ht="16.5" x14ac:dyDescent="0.3">
      <c r="B37" s="352"/>
      <c r="C37" s="245" t="s">
        <v>860</v>
      </c>
      <c r="D37" s="256">
        <f>D33*D26</f>
        <v>0</v>
      </c>
      <c r="E37" s="256">
        <f>E33*E26</f>
        <v>0.5</v>
      </c>
      <c r="F37" s="255" t="s">
        <v>856</v>
      </c>
      <c r="G37" s="245"/>
    </row>
    <row r="38" spans="2:7" ht="16.5" x14ac:dyDescent="0.3">
      <c r="B38" s="350" t="s">
        <v>861</v>
      </c>
      <c r="C38" s="245" t="s">
        <v>862</v>
      </c>
      <c r="D38" s="246">
        <v>0.03</v>
      </c>
      <c r="E38" s="246">
        <v>0.03</v>
      </c>
      <c r="F38" s="245" t="s">
        <v>853</v>
      </c>
      <c r="G38" s="245" t="s">
        <v>849</v>
      </c>
    </row>
    <row r="39" spans="2:7" ht="16.5" x14ac:dyDescent="0.3">
      <c r="B39" s="351"/>
      <c r="C39" s="245" t="s">
        <v>863</v>
      </c>
      <c r="D39" s="246">
        <v>0.06</v>
      </c>
      <c r="E39" s="246">
        <v>0.06</v>
      </c>
      <c r="F39" s="245" t="s">
        <v>853</v>
      </c>
      <c r="G39" s="245" t="s">
        <v>849</v>
      </c>
    </row>
    <row r="40" spans="2:7" ht="16.5" x14ac:dyDescent="0.3">
      <c r="B40" s="351"/>
      <c r="C40" s="245" t="s">
        <v>864</v>
      </c>
      <c r="D40" s="254">
        <f>D34-D38*D25</f>
        <v>125</v>
      </c>
      <c r="E40" s="254">
        <f>E34-E38*E25</f>
        <v>114.49549999999999</v>
      </c>
      <c r="F40" s="255" t="s">
        <v>856</v>
      </c>
      <c r="G40" s="245" t="s">
        <v>857</v>
      </c>
    </row>
    <row r="41" spans="2:7" ht="16.5" x14ac:dyDescent="0.3">
      <c r="B41" s="351"/>
      <c r="C41" s="245" t="s">
        <v>865</v>
      </c>
      <c r="D41" s="256">
        <f>D35-D39*D26</f>
        <v>125</v>
      </c>
      <c r="E41" s="256">
        <f>E35-E39*E26</f>
        <v>124.2</v>
      </c>
      <c r="F41" s="255" t="s">
        <v>856</v>
      </c>
      <c r="G41" s="245"/>
    </row>
    <row r="42" spans="2:7" ht="16.5" x14ac:dyDescent="0.3">
      <c r="B42" s="351"/>
      <c r="C42" s="245" t="s">
        <v>866</v>
      </c>
      <c r="D42" s="256">
        <f>D38*D25</f>
        <v>0</v>
      </c>
      <c r="E42" s="256">
        <f>E38*E25</f>
        <v>3.3525</v>
      </c>
      <c r="F42" s="255" t="s">
        <v>856</v>
      </c>
      <c r="G42" s="245"/>
    </row>
    <row r="43" spans="2:7" ht="16.5" x14ac:dyDescent="0.3">
      <c r="B43" s="352"/>
      <c r="C43" s="245" t="s">
        <v>867</v>
      </c>
      <c r="D43" s="256">
        <f>D39*D26</f>
        <v>0</v>
      </c>
      <c r="E43" s="256">
        <f>E39*E26</f>
        <v>0.3</v>
      </c>
      <c r="F43" s="255" t="s">
        <v>856</v>
      </c>
      <c r="G43" s="245"/>
    </row>
    <row r="44" spans="2:7" ht="16.5" x14ac:dyDescent="0.3">
      <c r="B44" s="350" t="s">
        <v>868</v>
      </c>
      <c r="C44" s="245" t="s">
        <v>869</v>
      </c>
      <c r="D44" s="256">
        <v>60</v>
      </c>
      <c r="E44" s="256">
        <v>60</v>
      </c>
      <c r="F44" s="255" t="s">
        <v>856</v>
      </c>
      <c r="G44" s="245" t="s">
        <v>870</v>
      </c>
    </row>
    <row r="45" spans="2:7" ht="16.5" x14ac:dyDescent="0.3">
      <c r="B45" s="351"/>
      <c r="C45" s="245" t="s">
        <v>871</v>
      </c>
      <c r="D45" s="246">
        <v>8</v>
      </c>
      <c r="E45" s="246">
        <v>8</v>
      </c>
      <c r="F45" s="255" t="s">
        <v>872</v>
      </c>
      <c r="G45" s="245" t="s">
        <v>873</v>
      </c>
    </row>
    <row r="46" spans="2:7" ht="16.5" x14ac:dyDescent="0.3">
      <c r="B46" s="352"/>
      <c r="C46" s="245" t="s">
        <v>874</v>
      </c>
      <c r="D46" s="256">
        <f>D44-(D29/1000*860/D45/60)</f>
        <v>60</v>
      </c>
      <c r="E46" s="256">
        <f>E44-(E29/1000*860/E45/60)</f>
        <v>59.577166666666663</v>
      </c>
      <c r="F46" s="255" t="s">
        <v>856</v>
      </c>
      <c r="G46" s="245"/>
    </row>
  </sheetData>
  <mergeCells count="8">
    <mergeCell ref="B38:B43"/>
    <mergeCell ref="B44:B46"/>
    <mergeCell ref="B5:B7"/>
    <mergeCell ref="B8:B16"/>
    <mergeCell ref="B17:B24"/>
    <mergeCell ref="B25:B29"/>
    <mergeCell ref="B30:B31"/>
    <mergeCell ref="B32:B37"/>
  </mergeCells>
  <phoneticPr fontId="1" type="noConversion"/>
  <pageMargins left="0.7" right="0.7" top="0.75" bottom="0.75" header="0.3" footer="0.3"/>
  <pageSetup paperSize="9" orientation="portrait" horizontalDpi="4294967293" verticalDpi="4294967293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64"/>
  <sheetViews>
    <sheetView zoomScale="90" zoomScaleNormal="90" workbookViewId="0">
      <pane xSplit="2" ySplit="8" topLeftCell="C35" activePane="bottomRight" state="frozen"/>
      <selection pane="topRight" activeCell="H1" sqref="H1"/>
      <selection pane="bottomLeft" activeCell="A9" sqref="A9"/>
      <selection pane="bottomRight" activeCell="D43" sqref="D43"/>
    </sheetView>
  </sheetViews>
  <sheetFormatPr defaultColWidth="9" defaultRowHeight="16.5" x14ac:dyDescent="0.3"/>
  <cols>
    <col min="1" max="1" width="9" style="188"/>
    <col min="2" max="2" width="41.25" style="188" customWidth="1"/>
    <col min="3" max="4" width="27.25" style="188" customWidth="1"/>
    <col min="5" max="5" width="8.625" style="188" bestFit="1" customWidth="1"/>
    <col min="6" max="6" width="76.125" style="188" customWidth="1"/>
    <col min="7" max="7" width="9" style="188"/>
    <col min="8" max="8" width="10.25" style="188" bestFit="1" customWidth="1"/>
    <col min="9" max="9" width="9.625" style="188" bestFit="1" customWidth="1"/>
    <col min="10" max="10" width="9.25" style="188" bestFit="1" customWidth="1"/>
    <col min="11" max="16384" width="9" style="188"/>
  </cols>
  <sheetData>
    <row r="1" spans="2:6" x14ac:dyDescent="0.3">
      <c r="C1" s="265" t="s">
        <v>1108</v>
      </c>
      <c r="D1" s="265" t="s">
        <v>1108</v>
      </c>
    </row>
    <row r="2" spans="2:6" x14ac:dyDescent="0.3">
      <c r="B2" s="189"/>
      <c r="C2" s="190" t="s">
        <v>1055</v>
      </c>
      <c r="D2" s="190" t="s">
        <v>1055</v>
      </c>
      <c r="E2" s="190"/>
      <c r="F2" s="189"/>
    </row>
    <row r="3" spans="2:6" x14ac:dyDescent="0.3">
      <c r="B3" s="189" t="s">
        <v>976</v>
      </c>
      <c r="C3" s="242">
        <v>30</v>
      </c>
      <c r="D3" s="242">
        <v>30</v>
      </c>
      <c r="E3" s="191" t="s">
        <v>977</v>
      </c>
      <c r="F3" s="189"/>
    </row>
    <row r="4" spans="2:6" x14ac:dyDescent="0.3">
      <c r="B4" s="189" t="s">
        <v>978</v>
      </c>
      <c r="C4" s="219">
        <v>1</v>
      </c>
      <c r="D4" s="219">
        <v>1</v>
      </c>
      <c r="E4" s="191" t="s">
        <v>979</v>
      </c>
      <c r="F4" s="189"/>
    </row>
    <row r="5" spans="2:6" x14ac:dyDescent="0.3">
      <c r="B5" s="189" t="s">
        <v>980</v>
      </c>
      <c r="C5" s="219">
        <v>0</v>
      </c>
      <c r="D5" s="219">
        <v>0</v>
      </c>
      <c r="E5" s="191"/>
      <c r="F5" s="189"/>
    </row>
    <row r="6" spans="2:6" x14ac:dyDescent="0.3">
      <c r="B6" s="189" t="s">
        <v>981</v>
      </c>
      <c r="C6" s="218">
        <f t="shared" ref="C6" si="0">C3/(C4-C5)</f>
        <v>30</v>
      </c>
      <c r="D6" s="218">
        <f t="shared" ref="D6" si="1">D3/(D4-D5)</f>
        <v>30</v>
      </c>
      <c r="E6" s="189" t="s">
        <v>880</v>
      </c>
      <c r="F6" s="189"/>
    </row>
    <row r="7" spans="2:6" x14ac:dyDescent="0.3">
      <c r="B7" s="189" t="s">
        <v>882</v>
      </c>
      <c r="C7" s="243">
        <v>100</v>
      </c>
      <c r="D7" s="243">
        <v>100</v>
      </c>
      <c r="E7" s="189" t="s">
        <v>883</v>
      </c>
      <c r="F7" s="189"/>
    </row>
    <row r="8" spans="2:6" x14ac:dyDescent="0.3">
      <c r="B8" s="189" t="s">
        <v>884</v>
      </c>
      <c r="C8" s="218">
        <f t="shared" ref="C8" si="2">C6*C7/1000</f>
        <v>3</v>
      </c>
      <c r="D8" s="218">
        <f t="shared" ref="D8" si="3">D6*D7/1000</f>
        <v>3</v>
      </c>
      <c r="E8" s="189" t="s">
        <v>982</v>
      </c>
      <c r="F8" s="189"/>
    </row>
    <row r="9" spans="2:6" x14ac:dyDescent="0.3">
      <c r="B9" s="189" t="s">
        <v>983</v>
      </c>
      <c r="C9" s="234">
        <v>400</v>
      </c>
      <c r="D9" s="234">
        <v>380</v>
      </c>
      <c r="E9" s="189" t="s">
        <v>984</v>
      </c>
      <c r="F9" s="189"/>
    </row>
    <row r="10" spans="2:6" x14ac:dyDescent="0.3">
      <c r="B10" s="189" t="s">
        <v>985</v>
      </c>
      <c r="C10" s="218">
        <v>10</v>
      </c>
      <c r="D10" s="218">
        <v>10</v>
      </c>
      <c r="E10" s="189" t="s">
        <v>986</v>
      </c>
      <c r="F10" s="189"/>
    </row>
    <row r="11" spans="2:6" x14ac:dyDescent="0.3">
      <c r="B11" s="189" t="s">
        <v>987</v>
      </c>
      <c r="C11" s="218">
        <f t="shared" ref="C11" si="4">C9*(100-C10)/100</f>
        <v>360</v>
      </c>
      <c r="D11" s="218">
        <f t="shared" ref="D11" si="5">D9*(100-D10)/100</f>
        <v>342</v>
      </c>
      <c r="E11" s="189" t="s">
        <v>984</v>
      </c>
      <c r="F11" s="189"/>
    </row>
    <row r="12" spans="2:6" x14ac:dyDescent="0.3">
      <c r="B12" s="189" t="s">
        <v>988</v>
      </c>
      <c r="C12" s="218">
        <v>90</v>
      </c>
      <c r="D12" s="218">
        <v>90</v>
      </c>
      <c r="E12" s="189" t="s">
        <v>989</v>
      </c>
      <c r="F12" s="189"/>
    </row>
    <row r="13" spans="2:6" x14ac:dyDescent="0.3">
      <c r="B13" s="189" t="s">
        <v>990</v>
      </c>
      <c r="C13" s="218">
        <f t="shared" ref="C13" si="6">C8/(C12/100)*C4</f>
        <v>3.333333333333333</v>
      </c>
      <c r="D13" s="218">
        <f t="shared" ref="D13" si="7">D8/(D12/100)*D4</f>
        <v>3.333333333333333</v>
      </c>
      <c r="E13" s="189" t="s">
        <v>991</v>
      </c>
      <c r="F13" s="189"/>
    </row>
    <row r="14" spans="2:6" x14ac:dyDescent="0.3">
      <c r="B14" s="189" t="s">
        <v>992</v>
      </c>
      <c r="C14" s="218">
        <f t="shared" ref="C14" si="8">C13*1000/C11/3^0.5</f>
        <v>5.3458358258298677</v>
      </c>
      <c r="D14" s="218">
        <f t="shared" ref="D14" si="9">D13*1000/D11/3^0.5</f>
        <v>5.6271956061367039</v>
      </c>
      <c r="E14" s="189" t="s">
        <v>993</v>
      </c>
      <c r="F14" s="189"/>
    </row>
    <row r="15" spans="2:6" x14ac:dyDescent="0.3">
      <c r="B15" s="189" t="s">
        <v>994</v>
      </c>
      <c r="C15" s="219">
        <v>25</v>
      </c>
      <c r="D15" s="219">
        <v>25</v>
      </c>
      <c r="E15" s="189" t="s">
        <v>986</v>
      </c>
      <c r="F15" s="189"/>
    </row>
    <row r="16" spans="2:6" x14ac:dyDescent="0.3">
      <c r="B16" s="189" t="s">
        <v>995</v>
      </c>
      <c r="C16" s="218">
        <f t="shared" ref="C16" si="10">C14*(100+C15)/100</f>
        <v>6.6822947822873342</v>
      </c>
      <c r="D16" s="218">
        <f t="shared" ref="D16" si="11">D14*(100+D15)/100</f>
        <v>7.0339945076708794</v>
      </c>
      <c r="E16" s="189" t="s">
        <v>996</v>
      </c>
      <c r="F16" s="189"/>
    </row>
    <row r="17" spans="2:6" x14ac:dyDescent="0.3">
      <c r="B17" s="189" t="s">
        <v>997</v>
      </c>
      <c r="C17" s="219">
        <v>30</v>
      </c>
      <c r="D17" s="219">
        <v>30</v>
      </c>
      <c r="E17" s="189" t="s">
        <v>996</v>
      </c>
      <c r="F17" s="189"/>
    </row>
    <row r="18" spans="2:6" x14ac:dyDescent="0.3">
      <c r="B18" s="189" t="s">
        <v>998</v>
      </c>
      <c r="C18" s="220">
        <f t="shared" ref="C18" si="12">C13*1000/C31</f>
        <v>7.0400914096629563</v>
      </c>
      <c r="D18" s="220">
        <f t="shared" ref="D18" si="13">D13*1000/D31</f>
        <v>7.4106225364873231</v>
      </c>
      <c r="E18" s="189" t="s">
        <v>993</v>
      </c>
      <c r="F18" s="189"/>
    </row>
    <row r="19" spans="2:6" x14ac:dyDescent="0.3">
      <c r="B19" s="189"/>
      <c r="C19" s="204"/>
      <c r="D19" s="204"/>
      <c r="E19" s="189"/>
      <c r="F19" s="189"/>
    </row>
    <row r="20" spans="2:6" x14ac:dyDescent="0.3">
      <c r="B20" s="200" t="s">
        <v>787</v>
      </c>
      <c r="C20" s="204"/>
      <c r="D20" s="204"/>
      <c r="E20" s="189"/>
      <c r="F20" s="189"/>
    </row>
    <row r="21" spans="2:6" x14ac:dyDescent="0.3">
      <c r="B21" s="189" t="s">
        <v>999</v>
      </c>
      <c r="C21" s="242">
        <v>4</v>
      </c>
      <c r="D21" s="242">
        <v>4</v>
      </c>
      <c r="E21" s="189" t="s">
        <v>1000</v>
      </c>
      <c r="F21" s="189"/>
    </row>
    <row r="22" spans="2:6" x14ac:dyDescent="0.3">
      <c r="B22" s="189" t="s">
        <v>1001</v>
      </c>
      <c r="C22" s="242">
        <v>2</v>
      </c>
      <c r="D22" s="242">
        <v>2</v>
      </c>
      <c r="E22" s="189"/>
      <c r="F22" s="189" t="s">
        <v>1002</v>
      </c>
    </row>
    <row r="23" spans="2:6" x14ac:dyDescent="0.3">
      <c r="B23" s="189" t="s">
        <v>888</v>
      </c>
      <c r="C23" s="242">
        <v>6</v>
      </c>
      <c r="D23" s="242">
        <v>6</v>
      </c>
      <c r="E23" s="189" t="s">
        <v>1000</v>
      </c>
      <c r="F23" s="189" t="s">
        <v>1003</v>
      </c>
    </row>
    <row r="24" spans="2:6" x14ac:dyDescent="0.3">
      <c r="B24" s="189" t="s">
        <v>47</v>
      </c>
      <c r="C24" s="218">
        <f t="shared" ref="C24" si="14">C8/C21/C23</f>
        <v>0.125</v>
      </c>
      <c r="D24" s="218">
        <f t="shared" ref="D24" si="15">D8/D21/D23</f>
        <v>0.125</v>
      </c>
      <c r="E24" s="189" t="s">
        <v>991</v>
      </c>
      <c r="F24" s="189" t="s">
        <v>1004</v>
      </c>
    </row>
    <row r="25" spans="2:6" x14ac:dyDescent="0.3">
      <c r="B25" s="189" t="s">
        <v>1005</v>
      </c>
      <c r="C25" s="218">
        <f t="shared" ref="C25" si="16">C9</f>
        <v>400</v>
      </c>
      <c r="D25" s="218">
        <f t="shared" ref="D25" si="17">D9</f>
        <v>380</v>
      </c>
      <c r="E25" s="189" t="s">
        <v>45</v>
      </c>
      <c r="F25" s="189"/>
    </row>
    <row r="26" spans="2:6" x14ac:dyDescent="0.3">
      <c r="B26" s="189" t="s">
        <v>885</v>
      </c>
      <c r="C26" s="226">
        <v>10</v>
      </c>
      <c r="D26" s="226">
        <v>10</v>
      </c>
      <c r="E26" s="189" t="s">
        <v>886</v>
      </c>
      <c r="F26" s="189"/>
    </row>
    <row r="27" spans="2:6" x14ac:dyDescent="0.3">
      <c r="B27" s="189" t="s">
        <v>887</v>
      </c>
      <c r="C27" s="218">
        <f t="shared" ref="C27" si="18">C25*(100-C26)/100</f>
        <v>360</v>
      </c>
      <c r="D27" s="218">
        <f t="shared" ref="D27" si="19">D25*(100-D26)/100</f>
        <v>342</v>
      </c>
      <c r="E27" s="189" t="s">
        <v>45</v>
      </c>
      <c r="F27" s="189"/>
    </row>
    <row r="28" spans="2:6" x14ac:dyDescent="0.3">
      <c r="B28" s="189" t="s">
        <v>38</v>
      </c>
      <c r="C28" s="219">
        <v>2</v>
      </c>
      <c r="D28" s="219">
        <v>2</v>
      </c>
      <c r="E28" s="189"/>
      <c r="F28" s="189" t="s">
        <v>889</v>
      </c>
    </row>
    <row r="29" spans="2:6" x14ac:dyDescent="0.3">
      <c r="B29" s="189" t="s">
        <v>790</v>
      </c>
      <c r="C29" s="219">
        <v>1</v>
      </c>
      <c r="D29" s="219">
        <v>1</v>
      </c>
      <c r="E29" s="189"/>
      <c r="F29" s="189" t="s">
        <v>789</v>
      </c>
    </row>
    <row r="30" spans="2:6" x14ac:dyDescent="0.3">
      <c r="B30" s="189" t="s">
        <v>1006</v>
      </c>
      <c r="C30" s="221">
        <f>IF(C28=1, C25*2^0.5*COS(PI()/6)*C29,  IF(C28=2, C25*2^0.5*0.93*C29,""))</f>
        <v>526.0874452027914</v>
      </c>
      <c r="D30" s="221">
        <f>IF(D28=1, D25*2^0.5*COS(PI()/6)*D29,  IF(D28=2, D25*2^0.5*0.93*D29,""))</f>
        <v>499.78307294265181</v>
      </c>
      <c r="E30" s="193" t="s">
        <v>45</v>
      </c>
      <c r="F30" s="189"/>
    </row>
    <row r="31" spans="2:6" x14ac:dyDescent="0.3">
      <c r="B31" s="189" t="s">
        <v>890</v>
      </c>
      <c r="C31" s="221">
        <f t="shared" ref="C31" si="20">IF(C28=1, C27*2^0.5*COS(PI()/6)*C29,  IF(C28=2, C27*2^0.5*0.93*C29,""))</f>
        <v>473.47870068251228</v>
      </c>
      <c r="D31" s="221">
        <f t="shared" ref="D31" si="21">IF(D28=1, D27*2^0.5*COS(PI()/6)*D29,  IF(D28=2, D27*2^0.5*0.93*D29,""))</f>
        <v>449.80476564838665</v>
      </c>
      <c r="E31" s="193" t="s">
        <v>45</v>
      </c>
      <c r="F31" s="189" t="s">
        <v>28</v>
      </c>
    </row>
    <row r="32" spans="2:6" x14ac:dyDescent="0.3">
      <c r="B32" s="189" t="s">
        <v>891</v>
      </c>
      <c r="C32" s="233">
        <f t="shared" ref="C32" si="22">C31/C23</f>
        <v>78.913116780418719</v>
      </c>
      <c r="D32" s="233">
        <f t="shared" ref="D32" si="23">D31/D23</f>
        <v>74.967460941397775</v>
      </c>
      <c r="E32" s="193" t="s">
        <v>45</v>
      </c>
      <c r="F32" s="189" t="s">
        <v>892</v>
      </c>
    </row>
    <row r="33" spans="2:8" x14ac:dyDescent="0.3">
      <c r="B33" s="189" t="s">
        <v>893</v>
      </c>
      <c r="C33" s="236">
        <f t="shared" ref="C33" si="24">C6/C21/C22/C23*1000</f>
        <v>625</v>
      </c>
      <c r="D33" s="236">
        <f t="shared" ref="D33" si="25">D6/D21/D22/D23*1000</f>
        <v>625</v>
      </c>
      <c r="E33" s="193" t="s">
        <v>45</v>
      </c>
      <c r="F33" s="189" t="s">
        <v>1007</v>
      </c>
    </row>
    <row r="34" spans="2:8" x14ac:dyDescent="0.3">
      <c r="B34" s="189" t="s">
        <v>0</v>
      </c>
      <c r="C34" s="230">
        <v>52</v>
      </c>
      <c r="D34" s="230">
        <v>52</v>
      </c>
      <c r="E34" s="193" t="s">
        <v>40</v>
      </c>
      <c r="F34" s="189" t="s">
        <v>1</v>
      </c>
      <c r="H34" s="1"/>
    </row>
    <row r="35" spans="2:8" x14ac:dyDescent="0.3">
      <c r="B35" s="189" t="s">
        <v>614</v>
      </c>
      <c r="C35" s="208">
        <f t="shared" ref="C35" si="26">1/C34*1000/2</f>
        <v>9.6153846153846168</v>
      </c>
      <c r="D35" s="208">
        <f t="shared" ref="D35" si="27">1/D34*1000/2</f>
        <v>9.6153846153846168</v>
      </c>
      <c r="E35" s="193" t="s">
        <v>894</v>
      </c>
      <c r="F35" s="189"/>
      <c r="H35" s="1"/>
    </row>
    <row r="36" spans="2:8" x14ac:dyDescent="0.3">
      <c r="B36" s="189" t="s">
        <v>2</v>
      </c>
      <c r="C36" s="209" t="s">
        <v>49</v>
      </c>
      <c r="D36" s="209" t="s">
        <v>49</v>
      </c>
      <c r="E36" s="197"/>
      <c r="F36" s="189" t="s">
        <v>895</v>
      </c>
    </row>
    <row r="37" spans="2:8" x14ac:dyDescent="0.3">
      <c r="B37" s="189" t="s">
        <v>3</v>
      </c>
      <c r="C37" s="210">
        <v>3.593</v>
      </c>
      <c r="D37" s="210">
        <v>3.593</v>
      </c>
      <c r="E37" s="193" t="s">
        <v>896</v>
      </c>
      <c r="F37" s="189" t="s">
        <v>4</v>
      </c>
    </row>
    <row r="38" spans="2:8" x14ac:dyDescent="0.3">
      <c r="B38" s="189" t="s">
        <v>5</v>
      </c>
      <c r="C38" s="210">
        <v>1</v>
      </c>
      <c r="D38" s="210">
        <v>1</v>
      </c>
      <c r="E38" s="193"/>
      <c r="F38" s="189"/>
    </row>
    <row r="39" spans="2:8" x14ac:dyDescent="0.3">
      <c r="B39" s="189" t="s">
        <v>6</v>
      </c>
      <c r="C39" s="210">
        <f t="shared" ref="C39" si="28">C37*C38</f>
        <v>3.593</v>
      </c>
      <c r="D39" s="210">
        <f t="shared" ref="D39" si="29">D37*D38</f>
        <v>3.593</v>
      </c>
      <c r="E39" s="193" t="s">
        <v>1008</v>
      </c>
      <c r="F39" s="189"/>
    </row>
    <row r="40" spans="2:8" x14ac:dyDescent="0.3">
      <c r="B40" s="189" t="s">
        <v>7</v>
      </c>
      <c r="C40" s="229">
        <v>0.42</v>
      </c>
      <c r="D40" s="229">
        <v>0.42</v>
      </c>
      <c r="E40" s="193" t="s">
        <v>897</v>
      </c>
      <c r="F40" s="189" t="s">
        <v>768</v>
      </c>
    </row>
    <row r="41" spans="2:8" x14ac:dyDescent="0.3">
      <c r="B41" s="189" t="s">
        <v>898</v>
      </c>
      <c r="C41" s="227">
        <v>1</v>
      </c>
      <c r="D41" s="227">
        <v>1</v>
      </c>
      <c r="E41" s="193"/>
      <c r="F41" s="189" t="s">
        <v>899</v>
      </c>
    </row>
    <row r="42" spans="2:8" x14ac:dyDescent="0.3">
      <c r="B42" s="189" t="s">
        <v>8</v>
      </c>
      <c r="C42" s="206">
        <f>ROUNDUP(C33*C35*0.01/C39/C40,2)</f>
        <v>39.83</v>
      </c>
      <c r="D42" s="206">
        <f>ROUNDUP(D33*D35*0.01/D39/D40,2)</f>
        <v>39.83</v>
      </c>
      <c r="E42" s="193"/>
      <c r="F42" s="189" t="s">
        <v>37</v>
      </c>
    </row>
    <row r="43" spans="2:8" x14ac:dyDescent="0.3">
      <c r="B43" s="189" t="s">
        <v>9</v>
      </c>
      <c r="C43" s="231">
        <v>42</v>
      </c>
      <c r="D43" s="231">
        <v>42</v>
      </c>
      <c r="E43" s="193"/>
      <c r="F43" s="189" t="s">
        <v>29</v>
      </c>
    </row>
    <row r="44" spans="2:8" x14ac:dyDescent="0.3">
      <c r="B44" s="189" t="s">
        <v>10</v>
      </c>
      <c r="C44" s="244">
        <f>C32/C33/C41</f>
        <v>0.12626098684866996</v>
      </c>
      <c r="D44" s="244">
        <f>D32/D33/D41</f>
        <v>0.11994793750623645</v>
      </c>
      <c r="E44" s="193"/>
      <c r="F44" s="189" t="s">
        <v>1009</v>
      </c>
    </row>
    <row r="45" spans="2:8" x14ac:dyDescent="0.3">
      <c r="B45" s="189" t="s">
        <v>11</v>
      </c>
      <c r="C45" s="212">
        <v>10</v>
      </c>
      <c r="D45" s="212">
        <v>10</v>
      </c>
      <c r="E45" s="193" t="s">
        <v>886</v>
      </c>
      <c r="F45" s="189"/>
    </row>
    <row r="46" spans="2:8" x14ac:dyDescent="0.3">
      <c r="B46" s="189" t="s">
        <v>12</v>
      </c>
      <c r="C46" s="266">
        <f t="shared" ref="C46" si="30">C44/(1+C45/100)</f>
        <v>0.11478271531697268</v>
      </c>
      <c r="D46" s="266">
        <f t="shared" ref="D46" si="31">D44/(1+D45/100)</f>
        <v>0.10904357955112404</v>
      </c>
      <c r="E46" s="193"/>
      <c r="F46" s="189" t="s">
        <v>13</v>
      </c>
    </row>
    <row r="47" spans="2:8" x14ac:dyDescent="0.3">
      <c r="B47" s="189" t="s">
        <v>900</v>
      </c>
      <c r="C47" s="267">
        <f t="shared" ref="C47" si="32">C50/C43</f>
        <v>0.11904761904761904</v>
      </c>
      <c r="D47" s="267">
        <f t="shared" ref="D47" si="33">D50/D43</f>
        <v>0.11904761904761904</v>
      </c>
      <c r="E47" s="193"/>
      <c r="F47" s="189" t="s">
        <v>901</v>
      </c>
    </row>
    <row r="48" spans="2:8" x14ac:dyDescent="0.3">
      <c r="B48" s="189" t="s">
        <v>14</v>
      </c>
      <c r="C48" s="215">
        <f t="shared" ref="C48" si="34">ROUNDDOWN(C43*C46,2)</f>
        <v>4.82</v>
      </c>
      <c r="D48" s="215">
        <f t="shared" ref="D48" si="35">ROUNDDOWN(D43*D46,2)</f>
        <v>4.57</v>
      </c>
      <c r="E48" s="193"/>
      <c r="F48" s="189"/>
    </row>
    <row r="49" spans="2:10" ht="16.7" hidden="1" customHeight="1" x14ac:dyDescent="0.3">
      <c r="B49" s="189" t="s">
        <v>46</v>
      </c>
      <c r="C49" s="212" t="e">
        <f>ROUNDUP(C31*1.2*#REF!*0.01/C39/C40,2)</f>
        <v>#REF!</v>
      </c>
      <c r="D49" s="212" t="e">
        <f>ROUNDUP(D31*1.2*#REF!*0.01/D39/D40,2)</f>
        <v>#REF!</v>
      </c>
      <c r="E49" s="193"/>
      <c r="F49" s="189" t="s">
        <v>37</v>
      </c>
    </row>
    <row r="50" spans="2:10" x14ac:dyDescent="0.3">
      <c r="B50" s="189" t="s">
        <v>15</v>
      </c>
      <c r="C50" s="231">
        <v>5</v>
      </c>
      <c r="D50" s="231">
        <v>5</v>
      </c>
      <c r="E50" s="193"/>
      <c r="F50" s="189" t="s">
        <v>902</v>
      </c>
    </row>
    <row r="51" spans="2:10" x14ac:dyDescent="0.3">
      <c r="B51" s="189" t="s">
        <v>1010</v>
      </c>
      <c r="C51" s="226">
        <f>C32/C41*C43/C50</f>
        <v>662.87018095551718</v>
      </c>
      <c r="D51" s="226">
        <f>D32/D41*D43/D50</f>
        <v>629.72667190774132</v>
      </c>
      <c r="E51" s="193" t="s">
        <v>45</v>
      </c>
      <c r="F51" s="189" t="s">
        <v>903</v>
      </c>
      <c r="I51" s="4"/>
      <c r="J51" s="4"/>
    </row>
    <row r="52" spans="2:10" x14ac:dyDescent="0.3">
      <c r="B52" s="189" t="s">
        <v>1011</v>
      </c>
      <c r="C52" s="226">
        <f>C30/C23/C41*C43/C50</f>
        <v>736.52242328390798</v>
      </c>
      <c r="D52" s="226">
        <f>D30/D23/D41*D43/D50</f>
        <v>699.69630211971253</v>
      </c>
      <c r="E52" s="193" t="s">
        <v>45</v>
      </c>
      <c r="F52" s="189"/>
      <c r="I52" s="4"/>
      <c r="J52" s="4"/>
    </row>
    <row r="53" spans="2:10" x14ac:dyDescent="0.3">
      <c r="B53" s="192" t="s">
        <v>1012</v>
      </c>
      <c r="C53" s="213">
        <f>C51*C21*C22*C23/1000</f>
        <v>31.817768685864824</v>
      </c>
      <c r="D53" s="213">
        <f>D51*D21*D22*D23/1000</f>
        <v>30.226880251571583</v>
      </c>
      <c r="E53" s="193" t="s">
        <v>880</v>
      </c>
      <c r="F53" s="189"/>
    </row>
    <row r="54" spans="2:10" x14ac:dyDescent="0.3">
      <c r="B54" s="192" t="s">
        <v>1013</v>
      </c>
      <c r="C54" s="213">
        <f>C52*C21*C22*C23/1000</f>
        <v>35.353076317627583</v>
      </c>
      <c r="D54" s="213">
        <f>D52*D21*D22*D23/1000</f>
        <v>33.585422501746201</v>
      </c>
      <c r="E54" s="193" t="s">
        <v>880</v>
      </c>
      <c r="F54" s="189"/>
    </row>
    <row r="55" spans="2:10" x14ac:dyDescent="0.3">
      <c r="B55" s="192" t="s">
        <v>1014</v>
      </c>
      <c r="C55" s="214">
        <f>C53*(C4-C5)</f>
        <v>31.817768685864824</v>
      </c>
      <c r="D55" s="214">
        <f>D53*(D4-D5)</f>
        <v>30.226880251571583</v>
      </c>
      <c r="E55" s="193" t="s">
        <v>880</v>
      </c>
      <c r="F55" s="189"/>
    </row>
    <row r="56" spans="2:10" x14ac:dyDescent="0.3">
      <c r="B56" s="192" t="s">
        <v>1015</v>
      </c>
      <c r="C56" s="214">
        <f>C54*(C4-C5)</f>
        <v>35.353076317627583</v>
      </c>
      <c r="D56" s="214">
        <f>D54*(D4-D5)</f>
        <v>33.585422501746201</v>
      </c>
      <c r="E56" s="193" t="s">
        <v>880</v>
      </c>
      <c r="F56" s="189"/>
    </row>
    <row r="57" spans="2:10" x14ac:dyDescent="0.3">
      <c r="B57" s="192" t="s">
        <v>1016</v>
      </c>
      <c r="C57" s="268">
        <f>C3/C55*100</f>
        <v>94.286938522271754</v>
      </c>
      <c r="D57" s="268">
        <f>D3/D55*100</f>
        <v>99.249408970812368</v>
      </c>
      <c r="E57" s="193" t="s">
        <v>886</v>
      </c>
      <c r="F57" s="189"/>
    </row>
    <row r="58" spans="2:10" x14ac:dyDescent="0.3">
      <c r="B58" s="192"/>
      <c r="C58" s="214"/>
      <c r="D58" s="214"/>
      <c r="E58" s="193"/>
      <c r="F58" s="189"/>
    </row>
    <row r="59" spans="2:10" x14ac:dyDescent="0.3">
      <c r="B59" s="192"/>
      <c r="C59" s="213"/>
      <c r="D59" s="213"/>
      <c r="E59" s="193"/>
      <c r="F59" s="189"/>
    </row>
    <row r="60" spans="2:10" x14ac:dyDescent="0.3">
      <c r="B60" s="201" t="s">
        <v>783</v>
      </c>
      <c r="C60" s="213"/>
      <c r="D60" s="213"/>
      <c r="E60" s="193"/>
      <c r="F60" s="189"/>
    </row>
    <row r="61" spans="2:10" x14ac:dyDescent="0.3">
      <c r="B61" s="189" t="s">
        <v>904</v>
      </c>
      <c r="C61" s="211">
        <v>10.199999999999999</v>
      </c>
      <c r="D61" s="211">
        <v>10.199999999999999</v>
      </c>
      <c r="E61" s="193" t="s">
        <v>886</v>
      </c>
      <c r="F61" s="189"/>
    </row>
    <row r="62" spans="2:10" x14ac:dyDescent="0.3">
      <c r="B62" s="189" t="s">
        <v>905</v>
      </c>
      <c r="C62" s="212">
        <f>C7*C61*C22/100</f>
        <v>20.399999999999999</v>
      </c>
      <c r="D62" s="212">
        <f>D7*D61*D22/100</f>
        <v>20.399999999999999</v>
      </c>
      <c r="E62" s="193" t="s">
        <v>883</v>
      </c>
      <c r="F62" s="189"/>
    </row>
    <row r="63" spans="2:10" x14ac:dyDescent="0.3">
      <c r="B63" s="189" t="s">
        <v>879</v>
      </c>
      <c r="C63" s="232">
        <f>C33/(C62/1000)</f>
        <v>30637.254901960787</v>
      </c>
      <c r="D63" s="232">
        <f>D33/(D62/1000)</f>
        <v>30637.254901960787</v>
      </c>
      <c r="E63" s="193" t="s">
        <v>906</v>
      </c>
      <c r="F63" s="189"/>
    </row>
    <row r="64" spans="2:10" x14ac:dyDescent="0.3">
      <c r="B64" s="189" t="s">
        <v>907</v>
      </c>
      <c r="C64" s="224">
        <f>1000000000000/(2*PI()*C34*1000*C63)</f>
        <v>99.900333509989679</v>
      </c>
      <c r="D64" s="224">
        <f>1000000000000/(2*PI()*D34*1000*D63)</f>
        <v>99.900333509989679</v>
      </c>
      <c r="E64" s="193" t="s">
        <v>908</v>
      </c>
      <c r="F64" s="189"/>
    </row>
    <row r="65" spans="2:11" x14ac:dyDescent="0.3">
      <c r="B65" s="189"/>
      <c r="C65" s="213"/>
      <c r="D65" s="213"/>
      <c r="E65" s="193"/>
      <c r="F65" s="189"/>
    </row>
    <row r="66" spans="2:11" x14ac:dyDescent="0.3">
      <c r="B66" s="200" t="s">
        <v>909</v>
      </c>
      <c r="C66" s="204"/>
      <c r="D66" s="204"/>
      <c r="E66" s="193"/>
      <c r="F66" s="189"/>
    </row>
    <row r="67" spans="2:11" x14ac:dyDescent="0.3">
      <c r="B67" s="189" t="s">
        <v>910</v>
      </c>
      <c r="C67" s="269">
        <f>(C7+C7*C61/100)/1000*C22</f>
        <v>0.22040000000000001</v>
      </c>
      <c r="D67" s="269">
        <f>(D7+D7*D61/100)/1000*D22</f>
        <v>0.22040000000000001</v>
      </c>
      <c r="E67" s="198" t="s">
        <v>44</v>
      </c>
      <c r="F67" s="189" t="s">
        <v>16</v>
      </c>
    </row>
    <row r="68" spans="2:11" x14ac:dyDescent="0.3">
      <c r="B68" s="189" t="s">
        <v>17</v>
      </c>
      <c r="C68" s="270">
        <f>C67*1.111</f>
        <v>0.24486440000000001</v>
      </c>
      <c r="D68" s="270">
        <f>D67*1.111</f>
        <v>0.24486440000000001</v>
      </c>
      <c r="E68" s="193" t="s">
        <v>44</v>
      </c>
      <c r="F68" s="189" t="s">
        <v>34</v>
      </c>
    </row>
    <row r="69" spans="2:11" x14ac:dyDescent="0.3">
      <c r="B69" s="189" t="s">
        <v>1017</v>
      </c>
      <c r="C69" s="205">
        <v>4.8</v>
      </c>
      <c r="D69" s="205">
        <v>4.8</v>
      </c>
      <c r="E69" s="193" t="s">
        <v>50</v>
      </c>
      <c r="F69" s="189" t="s">
        <v>769</v>
      </c>
    </row>
    <row r="70" spans="2:11" x14ac:dyDescent="0.3">
      <c r="B70" s="189" t="s">
        <v>42</v>
      </c>
      <c r="C70" s="258">
        <f t="shared" ref="C70" si="36">C68/C69</f>
        <v>5.1013416666666672E-2</v>
      </c>
      <c r="D70" s="258">
        <f t="shared" ref="D70" si="37">D68/D69</f>
        <v>5.1013416666666672E-2</v>
      </c>
      <c r="E70" s="193" t="s">
        <v>911</v>
      </c>
      <c r="F70" s="271" t="s">
        <v>1087</v>
      </c>
    </row>
    <row r="71" spans="2:11" x14ac:dyDescent="0.3">
      <c r="B71" s="189" t="s">
        <v>912</v>
      </c>
      <c r="C71" s="207">
        <f>C68*C21*C43/C50</f>
        <v>8.2274438400000012</v>
      </c>
      <c r="D71" s="207">
        <f>D68*D21*D43/D50</f>
        <v>8.2274438400000012</v>
      </c>
      <c r="E71" s="193" t="s">
        <v>44</v>
      </c>
      <c r="F71" s="189" t="s">
        <v>33</v>
      </c>
    </row>
    <row r="72" spans="2:11" x14ac:dyDescent="0.3">
      <c r="B72" s="189" t="s">
        <v>767</v>
      </c>
      <c r="C72" s="206">
        <f>C71*C4</f>
        <v>8.2274438400000012</v>
      </c>
      <c r="D72" s="206">
        <f>D71*D4</f>
        <v>8.2274438400000012</v>
      </c>
      <c r="E72" s="198" t="s">
        <v>44</v>
      </c>
      <c r="F72" s="189"/>
    </row>
    <row r="73" spans="2:11" x14ac:dyDescent="0.3">
      <c r="B73" s="189" t="s">
        <v>1018</v>
      </c>
      <c r="C73" s="205">
        <v>4.3</v>
      </c>
      <c r="D73" s="205">
        <v>4.3</v>
      </c>
      <c r="E73" s="193"/>
      <c r="F73" s="189"/>
    </row>
    <row r="74" spans="2:11" x14ac:dyDescent="0.3">
      <c r="B74" s="189" t="s">
        <v>43</v>
      </c>
      <c r="C74" s="272">
        <f>C72/C73</f>
        <v>1.91335903255814</v>
      </c>
      <c r="D74" s="272">
        <f>D72/D73</f>
        <v>1.91335903255814</v>
      </c>
      <c r="E74" s="193" t="s">
        <v>911</v>
      </c>
      <c r="F74" s="271" t="s">
        <v>1128</v>
      </c>
    </row>
    <row r="75" spans="2:11" x14ac:dyDescent="0.3">
      <c r="B75" s="189"/>
      <c r="C75" s="204"/>
      <c r="D75" s="204"/>
      <c r="E75" s="193"/>
      <c r="F75" s="189"/>
    </row>
    <row r="76" spans="2:11" x14ac:dyDescent="0.3">
      <c r="B76" s="200" t="s">
        <v>782</v>
      </c>
      <c r="C76" s="204"/>
      <c r="D76" s="204"/>
      <c r="E76" s="193"/>
      <c r="F76" s="189"/>
    </row>
    <row r="77" spans="2:11" x14ac:dyDescent="0.3">
      <c r="B77" s="189" t="s">
        <v>770</v>
      </c>
      <c r="C77" s="218">
        <f>C33/C67</f>
        <v>2835.7531760435572</v>
      </c>
      <c r="D77" s="218">
        <f>D33/D67</f>
        <v>2835.7531760435572</v>
      </c>
      <c r="E77" s="193" t="s">
        <v>41</v>
      </c>
      <c r="F77" s="189" t="s">
        <v>913</v>
      </c>
    </row>
    <row r="78" spans="2:11" x14ac:dyDescent="0.3">
      <c r="B78" s="189" t="s">
        <v>772</v>
      </c>
      <c r="C78" s="204">
        <f>C77/C21*(C47^2)*C23</f>
        <v>60.283868538340926</v>
      </c>
      <c r="D78" s="204">
        <f>D77/D21*(D47^2)*D23</f>
        <v>60.283868538340926</v>
      </c>
      <c r="E78" s="193" t="s">
        <v>41</v>
      </c>
      <c r="F78" s="189" t="s">
        <v>914</v>
      </c>
    </row>
    <row r="79" spans="2:11" x14ac:dyDescent="0.3">
      <c r="B79" s="189" t="s">
        <v>18</v>
      </c>
      <c r="C79" s="230">
        <v>1.2</v>
      </c>
      <c r="D79" s="230">
        <v>1.2</v>
      </c>
      <c r="E79" s="193"/>
      <c r="F79" s="189" t="s">
        <v>915</v>
      </c>
      <c r="K79" s="3"/>
    </row>
    <row r="80" spans="2:11" x14ac:dyDescent="0.3">
      <c r="B80" s="189" t="s">
        <v>916</v>
      </c>
      <c r="C80" s="230">
        <v>36</v>
      </c>
      <c r="D80" s="230">
        <v>36</v>
      </c>
      <c r="E80" s="193" t="s">
        <v>40</v>
      </c>
      <c r="F80" s="90" t="s">
        <v>917</v>
      </c>
    </row>
    <row r="81" spans="2:6" x14ac:dyDescent="0.3">
      <c r="B81" s="189" t="s">
        <v>19</v>
      </c>
      <c r="C81" s="204">
        <f t="shared" ref="C81" si="38">C79*C78/(2*3.1416*C80)*1000</f>
        <v>319.81510768579136</v>
      </c>
      <c r="D81" s="204">
        <f t="shared" ref="D81" si="39">D79*D78/(2*3.1416*D80)*1000</f>
        <v>319.81510768579136</v>
      </c>
      <c r="E81" s="193" t="s">
        <v>39</v>
      </c>
      <c r="F81" s="189"/>
    </row>
    <row r="82" spans="2:6" x14ac:dyDescent="0.3">
      <c r="B82" s="189" t="s">
        <v>918</v>
      </c>
      <c r="C82" s="259">
        <f t="shared" ref="C82" si="40">1000000/((2*3.1416*C80)^2*(C81))</f>
        <v>6.1113091701326984E-2</v>
      </c>
      <c r="D82" s="259">
        <f t="shared" ref="D82" si="41">1000000/((2*3.1416*D80)^2*(D81))</f>
        <v>6.1113091701326984E-2</v>
      </c>
      <c r="E82" s="193" t="s">
        <v>919</v>
      </c>
      <c r="F82" s="189"/>
    </row>
    <row r="83" spans="2:6" x14ac:dyDescent="0.3">
      <c r="B83" s="189" t="s">
        <v>969</v>
      </c>
      <c r="C83" s="263">
        <v>6.1199999999999997E-2</v>
      </c>
      <c r="D83" s="263">
        <v>6.1199999999999997E-2</v>
      </c>
      <c r="E83" s="193" t="s">
        <v>919</v>
      </c>
      <c r="F83" s="271" t="s">
        <v>1125</v>
      </c>
    </row>
    <row r="84" spans="2:6" x14ac:dyDescent="0.3">
      <c r="B84" s="189" t="s">
        <v>970</v>
      </c>
      <c r="C84" s="259">
        <f>C71/(2*3.141592*C34*1000*C83/1000000)</f>
        <v>411.4626158144597</v>
      </c>
      <c r="D84" s="259">
        <f>D71/(2*3.141592*D34*1000*D83/1000000)</f>
        <v>411.4626158144597</v>
      </c>
      <c r="E84" s="193" t="s">
        <v>1053</v>
      </c>
      <c r="F84" s="189"/>
    </row>
    <row r="85" spans="2:6" x14ac:dyDescent="0.3">
      <c r="B85" s="189" t="s">
        <v>771</v>
      </c>
      <c r="C85" s="205">
        <v>5.5</v>
      </c>
      <c r="D85" s="205">
        <v>5.5</v>
      </c>
      <c r="E85" s="193" t="s">
        <v>39</v>
      </c>
      <c r="F85" s="189" t="s">
        <v>920</v>
      </c>
    </row>
    <row r="86" spans="2:6" x14ac:dyDescent="0.3">
      <c r="B86" s="193" t="s">
        <v>921</v>
      </c>
      <c r="C86" s="206">
        <f>C81-C85</f>
        <v>314.31510768579136</v>
      </c>
      <c r="D86" s="206">
        <f>D81-D85</f>
        <v>314.31510768579136</v>
      </c>
      <c r="E86" s="193" t="s">
        <v>1019</v>
      </c>
      <c r="F86" s="189"/>
    </row>
    <row r="87" spans="2:6" x14ac:dyDescent="0.3">
      <c r="B87" s="193" t="s">
        <v>780</v>
      </c>
      <c r="C87" s="205">
        <v>1</v>
      </c>
      <c r="D87" s="205">
        <v>1</v>
      </c>
      <c r="E87" s="193" t="s">
        <v>756</v>
      </c>
      <c r="F87" s="189" t="s">
        <v>922</v>
      </c>
    </row>
    <row r="88" spans="2:6" x14ac:dyDescent="0.3">
      <c r="B88" s="193" t="s">
        <v>967</v>
      </c>
      <c r="C88" s="205">
        <v>2</v>
      </c>
      <c r="D88" s="205">
        <v>2</v>
      </c>
      <c r="E88" s="193" t="s">
        <v>965</v>
      </c>
      <c r="F88" s="189"/>
    </row>
    <row r="89" spans="2:6" x14ac:dyDescent="0.3">
      <c r="B89" s="193"/>
      <c r="C89" s="210"/>
      <c r="D89" s="210"/>
      <c r="E89" s="193"/>
      <c r="F89" s="189"/>
    </row>
    <row r="90" spans="2:6" x14ac:dyDescent="0.3">
      <c r="B90" s="200" t="s">
        <v>784</v>
      </c>
      <c r="C90" s="204"/>
      <c r="D90" s="204"/>
      <c r="E90" s="193"/>
      <c r="F90" s="189"/>
    </row>
    <row r="91" spans="2:6" x14ac:dyDescent="0.3">
      <c r="B91" s="189" t="s">
        <v>775</v>
      </c>
      <c r="C91" s="218">
        <f>C71</f>
        <v>8.2274438400000012</v>
      </c>
      <c r="D91" s="218">
        <f>D71</f>
        <v>8.2274438400000012</v>
      </c>
      <c r="E91" s="193" t="s">
        <v>44</v>
      </c>
      <c r="F91" s="189" t="s">
        <v>31</v>
      </c>
    </row>
    <row r="92" spans="2:6" x14ac:dyDescent="0.3">
      <c r="B92" s="189" t="s">
        <v>776</v>
      </c>
      <c r="C92" s="204">
        <f>2*3.1416*C34*1000*C86/1000000</f>
        <v>102.69504359979095</v>
      </c>
      <c r="D92" s="204">
        <f>2*3.1416*D34*1000*D86/1000000</f>
        <v>102.69504359979095</v>
      </c>
      <c r="E92" s="193" t="s">
        <v>906</v>
      </c>
      <c r="F92" s="189" t="s">
        <v>20</v>
      </c>
    </row>
    <row r="93" spans="2:6" x14ac:dyDescent="0.3">
      <c r="B93" s="193" t="s">
        <v>773</v>
      </c>
      <c r="C93" s="218">
        <f t="shared" ref="C93" si="42">C91*C92</f>
        <v>844.91770386363157</v>
      </c>
      <c r="D93" s="218">
        <f t="shared" ref="D93" si="43">D91*D92</f>
        <v>844.91770386363157</v>
      </c>
      <c r="E93" s="193" t="s">
        <v>45</v>
      </c>
      <c r="F93" s="189" t="s">
        <v>30</v>
      </c>
    </row>
    <row r="94" spans="2:6" x14ac:dyDescent="0.3">
      <c r="B94" s="193" t="s">
        <v>774</v>
      </c>
      <c r="C94" s="218">
        <f t="shared" ref="C94" si="44">C93/1.11</f>
        <v>761.18712059786617</v>
      </c>
      <c r="D94" s="218">
        <f t="shared" ref="D94" si="45">D93/1.11</f>
        <v>761.18712059786617</v>
      </c>
      <c r="E94" s="193" t="s">
        <v>45</v>
      </c>
      <c r="F94" s="189" t="s">
        <v>32</v>
      </c>
    </row>
    <row r="95" spans="2:6" x14ac:dyDescent="0.3">
      <c r="B95" s="193" t="s">
        <v>758</v>
      </c>
      <c r="C95" s="220">
        <f t="shared" ref="C95" si="46">C91/C87</f>
        <v>8.2274438400000012</v>
      </c>
      <c r="D95" s="220">
        <f t="shared" ref="D95" si="47">D91/D87</f>
        <v>8.2274438400000012</v>
      </c>
      <c r="E95" s="193" t="s">
        <v>44</v>
      </c>
      <c r="F95" s="189"/>
    </row>
    <row r="96" spans="2:6" x14ac:dyDescent="0.3">
      <c r="B96" s="193" t="s">
        <v>923</v>
      </c>
      <c r="C96" s="218">
        <f>C92*C87/C88</f>
        <v>51.347521799895475</v>
      </c>
      <c r="D96" s="218">
        <f>D92*D87/D88</f>
        <v>51.347521799895475</v>
      </c>
      <c r="E96" s="193" t="s">
        <v>906</v>
      </c>
      <c r="F96" s="189"/>
    </row>
    <row r="97" spans="2:6" x14ac:dyDescent="0.3">
      <c r="B97" s="193" t="s">
        <v>759</v>
      </c>
      <c r="C97" s="220">
        <f t="shared" ref="C97" si="48">C95*C96</f>
        <v>422.45885193181579</v>
      </c>
      <c r="D97" s="220">
        <f t="shared" ref="D97" si="49">D95*D96</f>
        <v>422.45885193181579</v>
      </c>
      <c r="E97" s="193" t="s">
        <v>45</v>
      </c>
      <c r="F97" s="189"/>
    </row>
    <row r="98" spans="2:6" x14ac:dyDescent="0.3">
      <c r="B98" s="193" t="s">
        <v>760</v>
      </c>
      <c r="C98" s="220">
        <f t="shared" ref="C98" si="50">C97/1.11</f>
        <v>380.59356029893308</v>
      </c>
      <c r="D98" s="220">
        <f t="shared" ref="D98" si="51">D97/1.11</f>
        <v>380.59356029893308</v>
      </c>
      <c r="E98" s="193" t="s">
        <v>45</v>
      </c>
      <c r="F98" s="189"/>
    </row>
    <row r="99" spans="2:6" x14ac:dyDescent="0.3">
      <c r="B99" s="193"/>
      <c r="C99" s="210"/>
      <c r="D99" s="210"/>
      <c r="E99" s="193"/>
      <c r="F99" s="189"/>
    </row>
    <row r="100" spans="2:6" x14ac:dyDescent="0.3">
      <c r="B100" s="193" t="s">
        <v>2</v>
      </c>
      <c r="C100" s="209" t="s">
        <v>49</v>
      </c>
      <c r="D100" s="209" t="s">
        <v>49</v>
      </c>
      <c r="E100" s="193"/>
      <c r="F100" s="189" t="s">
        <v>762</v>
      </c>
    </row>
    <row r="101" spans="2:6" x14ac:dyDescent="0.3">
      <c r="B101" s="189" t="s">
        <v>3</v>
      </c>
      <c r="C101" s="240">
        <v>3.59</v>
      </c>
      <c r="D101" s="240">
        <v>3.59</v>
      </c>
      <c r="E101" s="193" t="s">
        <v>896</v>
      </c>
      <c r="F101" s="189" t="s">
        <v>4</v>
      </c>
    </row>
    <row r="102" spans="2:6" x14ac:dyDescent="0.3">
      <c r="B102" s="189" t="s">
        <v>21</v>
      </c>
      <c r="C102" s="240">
        <v>1</v>
      </c>
      <c r="D102" s="240">
        <v>1</v>
      </c>
      <c r="E102" s="193"/>
      <c r="F102" s="189"/>
    </row>
    <row r="103" spans="2:6" x14ac:dyDescent="0.3">
      <c r="B103" s="189" t="s">
        <v>6</v>
      </c>
      <c r="C103" s="210">
        <f t="shared" ref="C103" si="52">C101*C102</f>
        <v>3.59</v>
      </c>
      <c r="D103" s="210">
        <f t="shared" ref="D103" si="53">D101*D102</f>
        <v>3.59</v>
      </c>
      <c r="E103" s="193" t="s">
        <v>896</v>
      </c>
      <c r="F103" s="189"/>
    </row>
    <row r="104" spans="2:6" x14ac:dyDescent="0.3">
      <c r="B104" s="193" t="s">
        <v>7</v>
      </c>
      <c r="C104" s="205">
        <v>0.43</v>
      </c>
      <c r="D104" s="205">
        <v>0.43</v>
      </c>
      <c r="E104" s="193" t="s">
        <v>897</v>
      </c>
      <c r="F104" s="194" t="s">
        <v>764</v>
      </c>
    </row>
    <row r="105" spans="2:6" x14ac:dyDescent="0.3">
      <c r="B105" s="193" t="s">
        <v>48</v>
      </c>
      <c r="C105" s="210">
        <f t="shared" ref="C105" si="54">C87</f>
        <v>1</v>
      </c>
      <c r="D105" s="210">
        <f t="shared" ref="D105" si="55">D87</f>
        <v>1</v>
      </c>
      <c r="E105" s="193"/>
      <c r="F105" s="189" t="s">
        <v>922</v>
      </c>
    </row>
    <row r="106" spans="2:6" x14ac:dyDescent="0.3">
      <c r="B106" s="193" t="s">
        <v>22</v>
      </c>
      <c r="C106" s="214">
        <f>ROUNDDOWN(C98*C35*0.01/C104/C103,3)</f>
        <v>23.706</v>
      </c>
      <c r="D106" s="214">
        <f>ROUNDDOWN(D98*D35*0.01/D104/D103,3)</f>
        <v>23.706</v>
      </c>
      <c r="E106" s="193"/>
      <c r="F106" s="90" t="s">
        <v>875</v>
      </c>
    </row>
    <row r="107" spans="2:6" x14ac:dyDescent="0.3">
      <c r="B107" s="193" t="s">
        <v>35</v>
      </c>
      <c r="C107" s="238">
        <v>24</v>
      </c>
      <c r="D107" s="238">
        <v>24</v>
      </c>
      <c r="E107" s="193"/>
      <c r="F107" s="189" t="s">
        <v>1084</v>
      </c>
    </row>
    <row r="108" spans="2:6" x14ac:dyDescent="0.3">
      <c r="B108" s="193" t="s">
        <v>23</v>
      </c>
      <c r="C108" s="240">
        <v>0.35</v>
      </c>
      <c r="D108" s="240">
        <v>0.35</v>
      </c>
      <c r="E108" s="193" t="s">
        <v>897</v>
      </c>
      <c r="F108" s="189" t="s">
        <v>765</v>
      </c>
    </row>
    <row r="109" spans="2:6" x14ac:dyDescent="0.3">
      <c r="B109" s="193" t="s">
        <v>924</v>
      </c>
      <c r="C109" s="204">
        <f t="shared" ref="C109" si="56">C95*2^0.5</f>
        <v>11.635362662190978</v>
      </c>
      <c r="D109" s="204">
        <f t="shared" ref="D109" si="57">D95*2^0.5</f>
        <v>11.635362662190978</v>
      </c>
      <c r="E109" s="193" t="s">
        <v>44</v>
      </c>
      <c r="F109" s="189" t="s">
        <v>925</v>
      </c>
    </row>
    <row r="110" spans="2:6" x14ac:dyDescent="0.3">
      <c r="B110" s="193" t="s">
        <v>926</v>
      </c>
      <c r="C110" s="225">
        <f t="shared" ref="C110" si="58">C109*C108/(C104/2)</f>
        <v>18.941288054729501</v>
      </c>
      <c r="D110" s="225">
        <f t="shared" ref="D110" si="59">D109*D108/(D104/2)</f>
        <v>18.941288054729501</v>
      </c>
      <c r="E110" s="193" t="s">
        <v>44</v>
      </c>
      <c r="F110" s="193" t="s">
        <v>761</v>
      </c>
    </row>
    <row r="111" spans="2:6" x14ac:dyDescent="0.3">
      <c r="B111" s="193" t="s">
        <v>927</v>
      </c>
      <c r="C111" s="222">
        <f>C86*C87/C88</f>
        <v>157.15755384289568</v>
      </c>
      <c r="D111" s="222">
        <f>D86*D87/D88</f>
        <v>157.15755384289568</v>
      </c>
      <c r="E111" s="193" t="s">
        <v>39</v>
      </c>
      <c r="F111" s="189"/>
    </row>
    <row r="112" spans="2:6" x14ac:dyDescent="0.3">
      <c r="B112" s="193" t="s">
        <v>720</v>
      </c>
      <c r="C112" s="204">
        <f t="shared" ref="C112" si="60">0.4*PI()*C107^2*C103*0.00000001/(C111/1000000)*10</f>
        <v>1.6534517861720421</v>
      </c>
      <c r="D112" s="204">
        <f t="shared" ref="D112" si="61">0.4*PI()*D107^2*D103*0.00000001/(D111/1000000)*10</f>
        <v>1.6534517861720421</v>
      </c>
      <c r="E112" s="193" t="s">
        <v>928</v>
      </c>
      <c r="F112" s="189" t="s">
        <v>929</v>
      </c>
    </row>
    <row r="113" spans="2:9" x14ac:dyDescent="0.3">
      <c r="B113" s="193" t="s">
        <v>24</v>
      </c>
      <c r="C113" s="204">
        <f t="shared" ref="C113" si="62">C112/2</f>
        <v>0.82672589308602107</v>
      </c>
      <c r="D113" s="204">
        <f t="shared" ref="D113" si="63">D112/2</f>
        <v>0.82672589308602107</v>
      </c>
      <c r="E113" s="193" t="s">
        <v>928</v>
      </c>
      <c r="F113" s="189" t="s">
        <v>930</v>
      </c>
    </row>
    <row r="114" spans="2:9" x14ac:dyDescent="0.3">
      <c r="B114" s="193" t="s">
        <v>931</v>
      </c>
      <c r="C114" s="237">
        <v>1.03</v>
      </c>
      <c r="D114" s="237">
        <v>1.03</v>
      </c>
      <c r="E114" s="193" t="s">
        <v>928</v>
      </c>
      <c r="F114" s="189" t="s">
        <v>932</v>
      </c>
    </row>
    <row r="115" spans="2:9" x14ac:dyDescent="0.3">
      <c r="B115" s="196" t="s">
        <v>933</v>
      </c>
      <c r="C115" s="223">
        <f t="shared" ref="C115" si="64">(C114*2/10)*C108/(0.4*PI()*C107*0.0001)</f>
        <v>23.906398743595112</v>
      </c>
      <c r="D115" s="223">
        <f t="shared" ref="D115" si="65">(D114*2/10)*D108/(0.4*PI()*D107*0.0001)</f>
        <v>23.906398743595112</v>
      </c>
      <c r="E115" s="228" t="s">
        <v>44</v>
      </c>
      <c r="F115" s="194" t="s">
        <v>934</v>
      </c>
      <c r="I115" s="2"/>
    </row>
    <row r="116" spans="2:9" x14ac:dyDescent="0.3">
      <c r="B116" s="193" t="s">
        <v>935</v>
      </c>
      <c r="C116" s="204">
        <f t="shared" ref="C116" si="66">0.4*PI()*C107^2*C103*0.00000001/(C114*2/10)*1000000</f>
        <v>126.14196024852654</v>
      </c>
      <c r="D116" s="204">
        <f t="shared" ref="D116" si="67">0.4*PI()*D107^2*D103*0.00000001/(D114*2/10)*1000000</f>
        <v>126.14196024852654</v>
      </c>
      <c r="E116" s="193" t="s">
        <v>39</v>
      </c>
      <c r="F116" s="194" t="s">
        <v>936</v>
      </c>
    </row>
    <row r="117" spans="2:9" x14ac:dyDescent="0.3">
      <c r="B117" s="199" t="s">
        <v>25</v>
      </c>
      <c r="C117" s="240">
        <v>11</v>
      </c>
      <c r="D117" s="240">
        <v>11</v>
      </c>
      <c r="E117" s="193" t="s">
        <v>928</v>
      </c>
      <c r="F117" s="189" t="s">
        <v>937</v>
      </c>
    </row>
    <row r="118" spans="2:9" x14ac:dyDescent="0.3">
      <c r="B118" s="199" t="s">
        <v>781</v>
      </c>
      <c r="C118" s="204">
        <v>37.6</v>
      </c>
      <c r="D118" s="204">
        <v>37.6</v>
      </c>
      <c r="E118" s="193" t="s">
        <v>928</v>
      </c>
      <c r="F118" s="189" t="s">
        <v>938</v>
      </c>
    </row>
    <row r="119" spans="2:9" x14ac:dyDescent="0.3">
      <c r="B119" s="199" t="s">
        <v>26</v>
      </c>
      <c r="C119" s="204">
        <f t="shared" ref="C119" si="68">C114/C117*100</f>
        <v>9.3636363636363651</v>
      </c>
      <c r="D119" s="204">
        <f t="shared" ref="D119" si="69">D114/D117*100</f>
        <v>9.3636363636363651</v>
      </c>
      <c r="E119" s="193" t="s">
        <v>886</v>
      </c>
      <c r="F119" s="189" t="s">
        <v>36</v>
      </c>
    </row>
    <row r="120" spans="2:9" x14ac:dyDescent="0.3">
      <c r="B120" s="199" t="s">
        <v>27</v>
      </c>
      <c r="C120" s="216">
        <f t="shared" ref="C120" si="70">1+C114/10/C101^0.5*LN(2*(C118/10)/(C114/10))</f>
        <v>1.2332422716060063</v>
      </c>
      <c r="D120" s="216">
        <f t="shared" ref="D120" si="71">1+D114/10/D101^0.5*LN(2*(D118/10)/(D114/10))</f>
        <v>1.2332422716060063</v>
      </c>
      <c r="E120" s="199"/>
      <c r="F120" s="189" t="s">
        <v>939</v>
      </c>
    </row>
    <row r="121" spans="2:9" x14ac:dyDescent="0.3">
      <c r="B121" s="193" t="s">
        <v>788</v>
      </c>
      <c r="C121" s="214">
        <f t="shared" ref="C121" si="72">C116*C120</f>
        <v>155.56359760172742</v>
      </c>
      <c r="D121" s="214">
        <f t="shared" ref="D121" si="73">D116*D120</f>
        <v>155.56359760172742</v>
      </c>
      <c r="E121" s="193" t="s">
        <v>39</v>
      </c>
      <c r="F121" s="239" t="s">
        <v>763</v>
      </c>
    </row>
    <row r="122" spans="2:9" x14ac:dyDescent="0.3">
      <c r="B122" s="193"/>
      <c r="C122" s="217"/>
      <c r="D122" s="217"/>
      <c r="E122" s="193"/>
      <c r="F122" s="195"/>
    </row>
    <row r="123" spans="2:9" hidden="1" x14ac:dyDescent="0.3">
      <c r="B123" s="200" t="s">
        <v>940</v>
      </c>
      <c r="C123" s="204" t="s">
        <v>1086</v>
      </c>
      <c r="D123" s="204" t="s">
        <v>1086</v>
      </c>
      <c r="E123" s="193"/>
      <c r="F123" s="189"/>
    </row>
    <row r="124" spans="2:9" hidden="1" x14ac:dyDescent="0.3">
      <c r="B124" s="189" t="s">
        <v>941</v>
      </c>
      <c r="C124" s="218">
        <f t="shared" ref="C124" si="74">C91</f>
        <v>8.2274438400000012</v>
      </c>
      <c r="D124" s="218">
        <f t="shared" ref="D124" si="75">D91</f>
        <v>8.2274438400000012</v>
      </c>
      <c r="E124" s="193" t="s">
        <v>44</v>
      </c>
      <c r="F124" s="189"/>
    </row>
    <row r="125" spans="2:9" hidden="1" x14ac:dyDescent="0.3">
      <c r="B125" s="189" t="s">
        <v>1020</v>
      </c>
      <c r="C125" s="227">
        <v>1000</v>
      </c>
      <c r="D125" s="227">
        <v>1000</v>
      </c>
      <c r="E125" s="193" t="s">
        <v>942</v>
      </c>
      <c r="F125" s="189" t="s">
        <v>1021</v>
      </c>
    </row>
    <row r="126" spans="2:9" hidden="1" x14ac:dyDescent="0.3">
      <c r="B126" s="189" t="s">
        <v>943</v>
      </c>
      <c r="C126" s="218">
        <f>C31</f>
        <v>473.47870068251228</v>
      </c>
      <c r="D126" s="218">
        <f>D31</f>
        <v>449.80476564838665</v>
      </c>
      <c r="E126" s="193" t="s">
        <v>45</v>
      </c>
      <c r="F126" s="189" t="s">
        <v>944</v>
      </c>
    </row>
    <row r="127" spans="2:9" hidden="1" x14ac:dyDescent="0.3">
      <c r="B127" s="189" t="s">
        <v>945</v>
      </c>
      <c r="C127" s="220">
        <f t="shared" ref="C127" si="76">C124*C125/C126</f>
        <v>17.376587010440527</v>
      </c>
      <c r="D127" s="220">
        <f t="shared" ref="D127" si="77">D124*D125/D126</f>
        <v>18.291144221516348</v>
      </c>
      <c r="E127" s="193" t="s">
        <v>946</v>
      </c>
      <c r="F127" s="189" t="s">
        <v>947</v>
      </c>
    </row>
    <row r="128" spans="2:9" x14ac:dyDescent="0.3">
      <c r="B128" s="193"/>
      <c r="C128" s="210"/>
      <c r="D128" s="210"/>
      <c r="E128" s="193"/>
      <c r="F128" s="189"/>
    </row>
    <row r="129" spans="2:6" x14ac:dyDescent="0.3">
      <c r="B129" s="200" t="s">
        <v>785</v>
      </c>
      <c r="C129" s="204"/>
      <c r="D129" s="204"/>
      <c r="E129" s="193"/>
      <c r="F129" s="189"/>
    </row>
    <row r="130" spans="2:6" x14ac:dyDescent="0.3">
      <c r="B130" s="189" t="s">
        <v>1022</v>
      </c>
      <c r="C130" s="260"/>
      <c r="D130" s="260"/>
      <c r="E130" s="193"/>
      <c r="F130" s="189"/>
    </row>
    <row r="131" spans="2:6" x14ac:dyDescent="0.3">
      <c r="B131" s="193" t="s">
        <v>948</v>
      </c>
      <c r="C131" s="241">
        <v>75</v>
      </c>
      <c r="D131" s="241">
        <v>75</v>
      </c>
      <c r="E131" s="193" t="s">
        <v>1023</v>
      </c>
      <c r="F131" s="189" t="s">
        <v>949</v>
      </c>
    </row>
    <row r="132" spans="2:6" x14ac:dyDescent="0.3">
      <c r="B132" s="193" t="s">
        <v>950</v>
      </c>
      <c r="C132" s="218">
        <v>105</v>
      </c>
      <c r="D132" s="218">
        <v>105</v>
      </c>
      <c r="E132" s="193" t="s">
        <v>1023</v>
      </c>
      <c r="F132" s="189" t="s">
        <v>1054</v>
      </c>
    </row>
    <row r="133" spans="2:6" x14ac:dyDescent="0.3">
      <c r="B133" s="193" t="s">
        <v>1024</v>
      </c>
      <c r="C133" s="229">
        <v>2</v>
      </c>
      <c r="D133" s="229">
        <v>2</v>
      </c>
      <c r="E133" s="193" t="s">
        <v>1025</v>
      </c>
      <c r="F133" s="189" t="s">
        <v>1026</v>
      </c>
    </row>
    <row r="134" spans="2:6" x14ac:dyDescent="0.3">
      <c r="B134" s="193" t="s">
        <v>1027</v>
      </c>
      <c r="C134" s="204">
        <f t="shared" ref="C134" si="78">C132/C133</f>
        <v>52.5</v>
      </c>
      <c r="D134" s="204">
        <f t="shared" ref="D134" si="79">D132/D133</f>
        <v>52.5</v>
      </c>
      <c r="E134" s="193" t="s">
        <v>1023</v>
      </c>
      <c r="F134" s="189" t="s">
        <v>951</v>
      </c>
    </row>
    <row r="135" spans="2:6" x14ac:dyDescent="0.3">
      <c r="B135" s="193" t="s">
        <v>1028</v>
      </c>
      <c r="C135" s="240">
        <v>4</v>
      </c>
      <c r="D135" s="240">
        <v>4</v>
      </c>
      <c r="E135" s="193"/>
      <c r="F135" s="189" t="s">
        <v>755</v>
      </c>
    </row>
    <row r="136" spans="2:6" x14ac:dyDescent="0.3">
      <c r="B136" s="193" t="s">
        <v>1029</v>
      </c>
      <c r="C136" s="218">
        <f t="shared" ref="C136" si="80">(C91/C133)^2*C132/1000/2</f>
        <v>0.88844217184214569</v>
      </c>
      <c r="D136" s="218">
        <f t="shared" ref="D136" si="81">(D91/D133)^2*D132/1000/2</f>
        <v>0.88844217184214569</v>
      </c>
      <c r="E136" s="193" t="s">
        <v>1030</v>
      </c>
      <c r="F136" s="189"/>
    </row>
    <row r="137" spans="2:6" x14ac:dyDescent="0.3">
      <c r="B137" s="193" t="s">
        <v>953</v>
      </c>
      <c r="C137" s="218">
        <f t="shared" ref="C137" si="82">C136*C133*C135</f>
        <v>7.1075373747371655</v>
      </c>
      <c r="D137" s="218">
        <f t="shared" ref="D137" si="83">D136*D133*D135</f>
        <v>7.1075373747371655</v>
      </c>
      <c r="E137" s="193" t="s">
        <v>952</v>
      </c>
      <c r="F137" s="189" t="s">
        <v>1031</v>
      </c>
    </row>
    <row r="138" spans="2:6" x14ac:dyDescent="0.3">
      <c r="B138" s="193" t="s">
        <v>954</v>
      </c>
      <c r="C138" s="273">
        <v>0.108</v>
      </c>
      <c r="D138" s="273">
        <v>0.108</v>
      </c>
      <c r="E138" s="193" t="s">
        <v>955</v>
      </c>
      <c r="F138" s="189" t="s">
        <v>956</v>
      </c>
    </row>
    <row r="139" spans="2:6" x14ac:dyDescent="0.3">
      <c r="B139" s="193" t="s">
        <v>957</v>
      </c>
      <c r="C139" s="204">
        <f>2*2*C34*C138/4</f>
        <v>5.6159999999999997</v>
      </c>
      <c r="D139" s="204">
        <f>2*2*D34*D138/4</f>
        <v>5.6159999999999997</v>
      </c>
      <c r="E139" s="193" t="s">
        <v>1030</v>
      </c>
      <c r="F139" s="189"/>
    </row>
    <row r="140" spans="2:6" x14ac:dyDescent="0.3">
      <c r="B140" s="193" t="s">
        <v>958</v>
      </c>
      <c r="C140" s="204">
        <f t="shared" ref="C140" si="84">C139*C133*C135</f>
        <v>44.927999999999997</v>
      </c>
      <c r="D140" s="204">
        <f t="shared" ref="D140" si="85">D139*D133*D135</f>
        <v>44.927999999999997</v>
      </c>
      <c r="E140" s="193" t="s">
        <v>952</v>
      </c>
      <c r="F140" s="189"/>
    </row>
    <row r="141" spans="2:6" x14ac:dyDescent="0.3">
      <c r="B141" s="193" t="s">
        <v>959</v>
      </c>
      <c r="C141" s="220">
        <f t="shared" ref="C141" si="86">C137+C140</f>
        <v>52.03553737473716</v>
      </c>
      <c r="D141" s="220">
        <f t="shared" ref="D141" si="87">D137+D140</f>
        <v>52.03553737473716</v>
      </c>
      <c r="E141" s="193" t="s">
        <v>1030</v>
      </c>
      <c r="F141" s="189"/>
    </row>
    <row r="142" spans="2:6" x14ac:dyDescent="0.3">
      <c r="B142" s="193" t="s">
        <v>757</v>
      </c>
      <c r="C142" s="204">
        <f t="shared" ref="C142" si="88">C141/C135/C133</f>
        <v>6.504442171842145</v>
      </c>
      <c r="D142" s="204">
        <f t="shared" ref="D142" si="89">D141/D135/D133</f>
        <v>6.504442171842145</v>
      </c>
      <c r="E142" s="193" t="s">
        <v>1030</v>
      </c>
      <c r="F142" s="189"/>
    </row>
    <row r="143" spans="2:6" x14ac:dyDescent="0.3">
      <c r="B143" s="193" t="s">
        <v>1032</v>
      </c>
      <c r="C143" s="205">
        <v>0.45</v>
      </c>
      <c r="D143" s="205">
        <v>0.45</v>
      </c>
      <c r="E143" s="193" t="s">
        <v>1033</v>
      </c>
      <c r="F143" s="189" t="s">
        <v>1034</v>
      </c>
    </row>
    <row r="144" spans="2:6" x14ac:dyDescent="0.3">
      <c r="B144" s="193" t="s">
        <v>1035</v>
      </c>
      <c r="C144" s="204">
        <f t="shared" ref="C144" si="90">C142*C143</f>
        <v>2.9269989773289655</v>
      </c>
      <c r="D144" s="204">
        <f t="shared" ref="D144" si="91">D142*D143</f>
        <v>2.9269989773289655</v>
      </c>
      <c r="E144" s="193" t="s">
        <v>1036</v>
      </c>
      <c r="F144" s="189" t="s">
        <v>960</v>
      </c>
    </row>
    <row r="145" spans="1:6" x14ac:dyDescent="0.3">
      <c r="B145" s="193" t="s">
        <v>961</v>
      </c>
      <c r="C145" s="219">
        <v>254.2</v>
      </c>
      <c r="D145" s="219">
        <v>254.2</v>
      </c>
      <c r="E145" s="193" t="s">
        <v>952</v>
      </c>
      <c r="F145" s="189"/>
    </row>
    <row r="146" spans="1:6" x14ac:dyDescent="0.3">
      <c r="B146" s="189" t="s">
        <v>1037</v>
      </c>
      <c r="C146" s="214">
        <f t="shared" ref="C146" si="92">C142/C145*100</f>
        <v>2.5587892100087117</v>
      </c>
      <c r="D146" s="214">
        <f t="shared" ref="D146" si="93">D142/D145*100</f>
        <v>2.5587892100087117</v>
      </c>
      <c r="E146" s="193" t="s">
        <v>886</v>
      </c>
      <c r="F146" s="189"/>
    </row>
    <row r="147" spans="1:6" x14ac:dyDescent="0.3">
      <c r="B147" s="189" t="s">
        <v>1038</v>
      </c>
      <c r="C147" s="206">
        <f>100-C141/(C8*1000)*100</f>
        <v>98.265482087508758</v>
      </c>
      <c r="D147" s="206">
        <f>100-D141/(D8*1000)*100</f>
        <v>98.265482087508758</v>
      </c>
      <c r="E147" s="193" t="s">
        <v>886</v>
      </c>
      <c r="F147" s="189"/>
    </row>
    <row r="148" spans="1:6" x14ac:dyDescent="0.3">
      <c r="B148" s="189"/>
      <c r="C148" s="204"/>
      <c r="D148" s="204"/>
      <c r="E148" s="193"/>
      <c r="F148" s="189"/>
    </row>
    <row r="149" spans="1:6" x14ac:dyDescent="0.3">
      <c r="B149" s="202" t="s">
        <v>1039</v>
      </c>
      <c r="C149" s="204"/>
      <c r="D149" s="204"/>
      <c r="E149" s="193"/>
      <c r="F149" s="189"/>
    </row>
    <row r="150" spans="1:6" x14ac:dyDescent="0.3">
      <c r="B150" s="84" t="s">
        <v>1040</v>
      </c>
      <c r="C150" s="204" t="s">
        <v>968</v>
      </c>
      <c r="D150" s="204" t="s">
        <v>968</v>
      </c>
      <c r="E150" s="193"/>
      <c r="F150" s="189"/>
    </row>
    <row r="151" spans="1:6" x14ac:dyDescent="0.3">
      <c r="B151" s="189" t="s">
        <v>1041</v>
      </c>
      <c r="C151" s="227">
        <v>22</v>
      </c>
      <c r="D151" s="227">
        <v>22</v>
      </c>
      <c r="E151" s="193" t="s">
        <v>962</v>
      </c>
      <c r="F151" s="189"/>
    </row>
    <row r="152" spans="1:6" x14ac:dyDescent="0.3">
      <c r="A152" s="188" t="s">
        <v>786</v>
      </c>
      <c r="B152" s="189" t="s">
        <v>766</v>
      </c>
      <c r="C152" s="226">
        <f>C151*1000/(C21*C23)</f>
        <v>916.66666666666663</v>
      </c>
      <c r="D152" s="226">
        <f>D151*1000/(D21*D23)</f>
        <v>916.66666666666663</v>
      </c>
      <c r="E152" s="193" t="s">
        <v>908</v>
      </c>
      <c r="F152" s="189"/>
    </row>
    <row r="153" spans="1:6" x14ac:dyDescent="0.3">
      <c r="B153" s="189" t="s">
        <v>1042</v>
      </c>
      <c r="C153" s="204">
        <f>0.5*C152/1000000000000*(C6*1000)^2</f>
        <v>0.41249999999999998</v>
      </c>
      <c r="D153" s="204">
        <f>0.5*D152/1000000000000*(D6*1000)^2</f>
        <v>0.41249999999999998</v>
      </c>
      <c r="E153" s="193" t="s">
        <v>963</v>
      </c>
      <c r="F153" s="189"/>
    </row>
    <row r="154" spans="1:6" x14ac:dyDescent="0.3">
      <c r="B154" s="189" t="s">
        <v>877</v>
      </c>
      <c r="C154" s="204" t="s">
        <v>1085</v>
      </c>
      <c r="D154" s="204" t="s">
        <v>1085</v>
      </c>
      <c r="E154" s="193"/>
      <c r="F154" s="271" t="s">
        <v>1043</v>
      </c>
    </row>
    <row r="155" spans="1:6" x14ac:dyDescent="0.3">
      <c r="B155" s="189" t="s">
        <v>878</v>
      </c>
      <c r="C155" s="205">
        <v>110</v>
      </c>
      <c r="D155" s="205">
        <v>110</v>
      </c>
      <c r="E155" s="193" t="s">
        <v>964</v>
      </c>
      <c r="F155" s="189"/>
    </row>
    <row r="156" spans="1:6" x14ac:dyDescent="0.3">
      <c r="B156" s="189" t="s">
        <v>1044</v>
      </c>
      <c r="C156" s="205">
        <v>3</v>
      </c>
      <c r="D156" s="205">
        <v>3</v>
      </c>
      <c r="E156" s="193" t="s">
        <v>965</v>
      </c>
      <c r="F156" s="189"/>
    </row>
    <row r="157" spans="1:6" x14ac:dyDescent="0.3">
      <c r="B157" s="189" t="s">
        <v>777</v>
      </c>
      <c r="C157" s="220">
        <f t="shared" ref="C157" si="94">C155*C156</f>
        <v>330</v>
      </c>
      <c r="D157" s="220">
        <f t="shared" ref="D157" si="95">D155*D156</f>
        <v>330</v>
      </c>
      <c r="E157" s="193" t="s">
        <v>1045</v>
      </c>
      <c r="F157" s="189"/>
    </row>
    <row r="158" spans="1:6" x14ac:dyDescent="0.3">
      <c r="B158" s="189" t="s">
        <v>778</v>
      </c>
      <c r="C158" s="218">
        <f>C157/C4</f>
        <v>330</v>
      </c>
      <c r="D158" s="218">
        <f>D157/D4</f>
        <v>330</v>
      </c>
      <c r="E158" s="193" t="s">
        <v>1045</v>
      </c>
      <c r="F158" s="189"/>
    </row>
    <row r="159" spans="1:6" x14ac:dyDescent="0.3">
      <c r="B159" s="189" t="s">
        <v>779</v>
      </c>
      <c r="C159" s="274">
        <f>0.5*C158/1000*(C7/1000)^2</f>
        <v>1.6500000000000004E-3</v>
      </c>
      <c r="D159" s="274">
        <f>0.5*D158/1000*(D7/1000)^2</f>
        <v>1.6500000000000004E-3</v>
      </c>
      <c r="E159" s="193" t="s">
        <v>963</v>
      </c>
      <c r="F159" s="189"/>
    </row>
    <row r="160" spans="1:6" x14ac:dyDescent="0.3">
      <c r="B160" s="189" t="s">
        <v>966</v>
      </c>
      <c r="C160" s="203">
        <f t="shared" ref="C160" si="96">C153+C159</f>
        <v>0.41414999999999996</v>
      </c>
      <c r="D160" s="203">
        <f t="shared" ref="D160" si="97">D153+D159</f>
        <v>0.41414999999999996</v>
      </c>
      <c r="E160" s="193" t="s">
        <v>1046</v>
      </c>
      <c r="F160" s="189"/>
    </row>
    <row r="161" spans="2:6" x14ac:dyDescent="0.3">
      <c r="B161" s="189" t="s">
        <v>879</v>
      </c>
      <c r="C161" s="226">
        <f t="shared" ref="C161" si="98">(C158/(C152/1000000000))^0.5</f>
        <v>18973.665961010276</v>
      </c>
      <c r="D161" s="226">
        <f t="shared" ref="D161" si="99">(D158/(D152/1000000000))^0.5</f>
        <v>18973.665961010276</v>
      </c>
      <c r="E161" s="193" t="s">
        <v>1047</v>
      </c>
      <c r="F161" s="189"/>
    </row>
    <row r="162" spans="2:6" x14ac:dyDescent="0.3">
      <c r="B162" s="189" t="s">
        <v>1048</v>
      </c>
      <c r="C162" s="222">
        <f>C6*1000/C161</f>
        <v>1.5811388300841898</v>
      </c>
      <c r="D162" s="222">
        <f>D6*1000/D161</f>
        <v>1.5811388300841898</v>
      </c>
      <c r="E162" s="193" t="s">
        <v>1049</v>
      </c>
      <c r="F162" s="189"/>
    </row>
    <row r="163" spans="2:6" x14ac:dyDescent="0.3">
      <c r="B163" s="189" t="s">
        <v>1050</v>
      </c>
      <c r="C163" s="235">
        <f>C160/(C21*C23)*1000</f>
        <v>17.256249999999998</v>
      </c>
      <c r="D163" s="235">
        <f>D160/(D21*D23)*1000</f>
        <v>17.256249999999998</v>
      </c>
      <c r="E163" s="193" t="s">
        <v>955</v>
      </c>
      <c r="F163" s="189"/>
    </row>
    <row r="164" spans="2:6" x14ac:dyDescent="0.3">
      <c r="B164" s="189" t="s">
        <v>1051</v>
      </c>
      <c r="C164" s="257">
        <f t="shared" ref="C164" si="100">1/(2*3.1415926*SQRT(C158/1000*C152*10^-12))/1000</f>
        <v>9.1507659932746996</v>
      </c>
      <c r="D164" s="257">
        <f t="shared" ref="D164" si="101">1/(2*3.1415926*SQRT(D158/1000*D152*10^-12))/1000</f>
        <v>9.1507659932746996</v>
      </c>
      <c r="E164" s="189" t="s">
        <v>1052</v>
      </c>
      <c r="F164" s="189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22"/>
  <sheetViews>
    <sheetView topLeftCell="B1" workbookViewId="0">
      <selection activeCell="K18" sqref="K18"/>
    </sheetView>
  </sheetViews>
  <sheetFormatPr defaultRowHeight="16.5" x14ac:dyDescent="0.3"/>
  <cols>
    <col min="3" max="3" width="22.75" bestFit="1" customWidth="1"/>
    <col min="4" max="4" width="3.875" bestFit="1" customWidth="1"/>
    <col min="5" max="5" width="12.375" bestFit="1" customWidth="1"/>
    <col min="6" max="6" width="17.125" bestFit="1" customWidth="1"/>
    <col min="7" max="7" width="19.625" bestFit="1" customWidth="1"/>
    <col min="8" max="8" width="6.125" bestFit="1" customWidth="1"/>
    <col min="9" max="9" width="11.125" bestFit="1" customWidth="1"/>
  </cols>
  <sheetData>
    <row r="1" spans="2:11" ht="17.25" thickBot="1" x14ac:dyDescent="0.35"/>
    <row r="2" spans="2:11" x14ac:dyDescent="0.3">
      <c r="C2" s="289"/>
      <c r="D2" s="290"/>
      <c r="E2" s="290"/>
      <c r="F2" s="290"/>
      <c r="G2" s="290" t="s">
        <v>1088</v>
      </c>
      <c r="H2" s="290"/>
      <c r="I2" s="291" t="s">
        <v>1089</v>
      </c>
    </row>
    <row r="3" spans="2:11" x14ac:dyDescent="0.3">
      <c r="C3" s="292" t="s">
        <v>976</v>
      </c>
      <c r="D3" s="293"/>
      <c r="E3" s="294">
        <v>330000</v>
      </c>
      <c r="F3" s="293" t="s">
        <v>1090</v>
      </c>
      <c r="G3" s="293"/>
      <c r="H3" s="293"/>
      <c r="I3" s="295"/>
    </row>
    <row r="4" spans="2:11" x14ac:dyDescent="0.3">
      <c r="C4" s="292"/>
      <c r="D4" s="293"/>
      <c r="E4" s="296">
        <v>85</v>
      </c>
      <c r="F4" s="293" t="s">
        <v>1091</v>
      </c>
      <c r="G4" s="293"/>
      <c r="H4" s="293">
        <v>8</v>
      </c>
      <c r="I4" s="295">
        <v>2</v>
      </c>
    </row>
    <row r="5" spans="2:11" x14ac:dyDescent="0.3">
      <c r="C5" s="297">
        <v>30000</v>
      </c>
      <c r="D5" s="298" t="s">
        <v>984</v>
      </c>
      <c r="E5" s="296">
        <f>E3*E4</f>
        <v>28050000</v>
      </c>
      <c r="F5" s="293">
        <v>140</v>
      </c>
      <c r="G5" s="299">
        <f>C5/(E5+F5)*F5</f>
        <v>0.14973187299599933</v>
      </c>
      <c r="H5" s="299">
        <f>G5*H4</f>
        <v>1.1978549839679946</v>
      </c>
      <c r="I5" s="300">
        <f>H5*I4</f>
        <v>2.3957099679359892</v>
      </c>
    </row>
    <row r="6" spans="2:11" x14ac:dyDescent="0.3">
      <c r="C6" s="297" t="s">
        <v>1092</v>
      </c>
      <c r="D6" s="298"/>
      <c r="E6" s="299">
        <f>C5/E4</f>
        <v>352.94117647058823</v>
      </c>
      <c r="F6" s="293" t="s">
        <v>1093</v>
      </c>
      <c r="G6" s="299"/>
      <c r="H6" s="299"/>
      <c r="I6" s="300"/>
      <c r="K6" s="301" t="s">
        <v>1094</v>
      </c>
    </row>
    <row r="7" spans="2:11" x14ac:dyDescent="0.3">
      <c r="C7" s="297" t="s">
        <v>1095</v>
      </c>
      <c r="D7" s="298"/>
      <c r="E7" s="296">
        <f>E6*E6/E3</f>
        <v>0.37747719408619063</v>
      </c>
      <c r="F7" s="293" t="s">
        <v>1096</v>
      </c>
      <c r="G7" s="299"/>
      <c r="H7" s="299"/>
      <c r="I7" s="300"/>
    </row>
    <row r="8" spans="2:11" x14ac:dyDescent="0.3">
      <c r="C8" s="297">
        <f>G8*(E5+F5)/F5</f>
        <v>41323.866964285713</v>
      </c>
      <c r="D8" s="298" t="s">
        <v>1093</v>
      </c>
      <c r="E8" s="296"/>
      <c r="F8" s="293"/>
      <c r="G8" s="299">
        <f>H8/H4</f>
        <v>0.20624999999999999</v>
      </c>
      <c r="H8" s="299">
        <f>I8/I4</f>
        <v>1.65</v>
      </c>
      <c r="I8" s="300">
        <v>3.3</v>
      </c>
    </row>
    <row r="9" spans="2:11" x14ac:dyDescent="0.3">
      <c r="C9" s="302"/>
      <c r="D9" s="303"/>
      <c r="E9" s="304"/>
      <c r="F9" s="199"/>
      <c r="G9" s="305"/>
      <c r="H9" s="305"/>
      <c r="I9" s="306"/>
    </row>
    <row r="10" spans="2:11" x14ac:dyDescent="0.3">
      <c r="C10" s="307" t="s">
        <v>1097</v>
      </c>
      <c r="D10" s="308"/>
      <c r="E10" s="309">
        <v>1.2</v>
      </c>
      <c r="F10" s="310"/>
      <c r="G10" s="310"/>
      <c r="H10" s="308"/>
      <c r="I10" s="311"/>
      <c r="K10" t="s">
        <v>1098</v>
      </c>
    </row>
    <row r="11" spans="2:11" x14ac:dyDescent="0.3">
      <c r="B11" s="301"/>
      <c r="C11" s="312"/>
      <c r="D11" s="310"/>
      <c r="E11" s="310">
        <v>1</v>
      </c>
      <c r="F11" s="310" t="s">
        <v>1091</v>
      </c>
      <c r="G11" s="310"/>
      <c r="H11" s="310">
        <v>8</v>
      </c>
      <c r="I11" s="313">
        <v>2</v>
      </c>
      <c r="J11" s="301"/>
      <c r="K11" s="301" t="s">
        <v>1099</v>
      </c>
    </row>
    <row r="12" spans="2:11" x14ac:dyDescent="0.3">
      <c r="B12" s="301"/>
      <c r="C12" s="314">
        <v>0.1</v>
      </c>
      <c r="D12" s="315" t="s">
        <v>1100</v>
      </c>
      <c r="E12" s="316">
        <f>E10/E11</f>
        <v>1.2</v>
      </c>
      <c r="F12" s="310"/>
      <c r="G12" s="310">
        <f>C12*E12</f>
        <v>0.12</v>
      </c>
      <c r="H12" s="310">
        <f>G12*H11</f>
        <v>0.96</v>
      </c>
      <c r="I12" s="313">
        <f>H12*I11</f>
        <v>1.92</v>
      </c>
      <c r="J12" s="301"/>
      <c r="K12" s="317" t="s">
        <v>1101</v>
      </c>
    </row>
    <row r="13" spans="2:11" x14ac:dyDescent="0.3">
      <c r="B13" s="301"/>
      <c r="C13" s="312" t="s">
        <v>1102</v>
      </c>
      <c r="D13" s="310"/>
      <c r="E13" s="310">
        <f>C12*E12</f>
        <v>0.12</v>
      </c>
      <c r="F13" s="310"/>
      <c r="G13" s="310"/>
      <c r="H13" s="310"/>
      <c r="I13" s="313"/>
      <c r="J13" s="301"/>
      <c r="K13" s="301"/>
    </row>
    <row r="14" spans="2:11" x14ac:dyDescent="0.3">
      <c r="C14" s="307" t="s">
        <v>1095</v>
      </c>
      <c r="D14" s="308"/>
      <c r="E14" s="316">
        <f>C12*C12*E12</f>
        <v>1.2000000000000002E-2</v>
      </c>
      <c r="F14" s="310" t="s">
        <v>1096</v>
      </c>
      <c r="G14" s="308"/>
      <c r="H14" s="308"/>
      <c r="I14" s="311"/>
    </row>
    <row r="15" spans="2:11" x14ac:dyDescent="0.3">
      <c r="C15" s="307">
        <f>G15/E12</f>
        <v>0.171875</v>
      </c>
      <c r="D15" s="308" t="s">
        <v>993</v>
      </c>
      <c r="E15" s="310"/>
      <c r="F15" s="310"/>
      <c r="G15" s="308">
        <f>H15/H11</f>
        <v>0.20624999999999999</v>
      </c>
      <c r="H15" s="308">
        <f>I15/I11</f>
        <v>1.65</v>
      </c>
      <c r="I15" s="311">
        <v>3.3</v>
      </c>
    </row>
    <row r="16" spans="2:11" x14ac:dyDescent="0.3">
      <c r="C16" s="318"/>
      <c r="D16" s="195"/>
      <c r="E16" s="319"/>
      <c r="F16" s="319"/>
      <c r="G16" s="195"/>
      <c r="H16" s="195"/>
      <c r="I16" s="320"/>
    </row>
    <row r="17" spans="3:11" x14ac:dyDescent="0.3">
      <c r="C17" s="321" t="s">
        <v>1103</v>
      </c>
      <c r="D17" s="322"/>
      <c r="E17" s="323">
        <v>22</v>
      </c>
      <c r="F17" s="324" t="s">
        <v>1104</v>
      </c>
      <c r="G17" s="324"/>
      <c r="H17" s="322"/>
      <c r="I17" s="325"/>
      <c r="K17" t="s">
        <v>1105</v>
      </c>
    </row>
    <row r="18" spans="3:11" x14ac:dyDescent="0.3">
      <c r="C18" s="326"/>
      <c r="D18" s="324"/>
      <c r="E18" s="324">
        <v>1</v>
      </c>
      <c r="F18" s="324" t="s">
        <v>1091</v>
      </c>
      <c r="G18" s="324"/>
      <c r="H18" s="324"/>
      <c r="I18" s="327"/>
      <c r="K18" s="328" t="s">
        <v>1106</v>
      </c>
    </row>
    <row r="19" spans="3:11" x14ac:dyDescent="0.3">
      <c r="C19" s="329">
        <v>8.1999999999999993</v>
      </c>
      <c r="D19" s="330" t="s">
        <v>1100</v>
      </c>
      <c r="E19" s="324">
        <f>E17/E18</f>
        <v>22</v>
      </c>
      <c r="F19" s="324">
        <v>200</v>
      </c>
      <c r="G19" s="324">
        <v>1</v>
      </c>
      <c r="H19" s="324">
        <v>1</v>
      </c>
      <c r="I19" s="327">
        <f>C19/F19*E19</f>
        <v>0.90199999999999991</v>
      </c>
    </row>
    <row r="20" spans="3:11" x14ac:dyDescent="0.3">
      <c r="C20" s="326" t="s">
        <v>1107</v>
      </c>
      <c r="D20" s="324"/>
      <c r="E20" s="324">
        <f>C19/F19*E19</f>
        <v>0.90199999999999991</v>
      </c>
      <c r="F20" s="324"/>
      <c r="G20" s="324"/>
      <c r="H20" s="324"/>
      <c r="I20" s="327"/>
    </row>
    <row r="21" spans="3:11" x14ac:dyDescent="0.3">
      <c r="C21" s="321" t="s">
        <v>1095</v>
      </c>
      <c r="D21" s="322"/>
      <c r="E21" s="324">
        <f>E20*E20/E19</f>
        <v>3.6981999999999994E-2</v>
      </c>
      <c r="F21" s="324" t="s">
        <v>1096</v>
      </c>
      <c r="G21" s="322"/>
      <c r="H21" s="322"/>
      <c r="I21" s="325"/>
    </row>
    <row r="22" spans="3:11" x14ac:dyDescent="0.3">
      <c r="C22" s="321">
        <f>I22/E19*F22</f>
        <v>30</v>
      </c>
      <c r="D22" s="322" t="s">
        <v>993</v>
      </c>
      <c r="E22" s="324"/>
      <c r="F22" s="324">
        <v>200</v>
      </c>
      <c r="G22" s="322">
        <v>1</v>
      </c>
      <c r="H22" s="322">
        <v>1</v>
      </c>
      <c r="I22" s="325">
        <v>3.3</v>
      </c>
    </row>
  </sheetData>
  <phoneticPr fontId="1" type="noConversion"/>
  <pageMargins left="0.7" right="0.7" top="0.75" bottom="0.75" header="0.3" footer="0.3"/>
  <pageSetup paperSize="9" orientation="portrait" horizontalDpi="300" verticalDpi="4294967293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58"/>
  <sheetViews>
    <sheetView zoomScaleNormal="100" workbookViewId="0">
      <pane xSplit="3" ySplit="2" topLeftCell="D18" activePane="bottomRight" state="frozen"/>
      <selection pane="topRight" activeCell="D1" sqref="D1"/>
      <selection pane="bottomLeft" activeCell="A3" sqref="A3"/>
      <selection pane="bottomRight" activeCell="A38" sqref="A38:XFD38"/>
    </sheetView>
  </sheetViews>
  <sheetFormatPr defaultRowHeight="16.5" x14ac:dyDescent="0.3"/>
  <cols>
    <col min="3" max="3" width="10" style="6" bestFit="1" customWidth="1"/>
    <col min="4" max="8" width="9" style="13" customWidth="1"/>
    <col min="9" max="10" width="9.75" style="13" customWidth="1"/>
    <col min="11" max="12" width="9" style="13" customWidth="1"/>
    <col min="13" max="13" width="9" style="14" customWidth="1"/>
    <col min="14" max="14" width="9" style="15" customWidth="1"/>
    <col min="15" max="15" width="9" style="16" customWidth="1"/>
    <col min="16" max="16" width="9" style="17" customWidth="1"/>
    <col min="17" max="17" width="9" style="18" customWidth="1"/>
    <col min="18" max="18" width="9" style="16" customWidth="1"/>
    <col min="259" max="259" width="10" bestFit="1" customWidth="1"/>
    <col min="260" max="264" width="9" customWidth="1"/>
    <col min="265" max="266" width="9.75" customWidth="1"/>
    <col min="267" max="274" width="9" customWidth="1"/>
    <col min="515" max="515" width="10" bestFit="1" customWidth="1"/>
    <col min="516" max="520" width="9" customWidth="1"/>
    <col min="521" max="522" width="9.75" customWidth="1"/>
    <col min="523" max="530" width="9" customWidth="1"/>
    <col min="771" max="771" width="10" bestFit="1" customWidth="1"/>
    <col min="772" max="776" width="9" customWidth="1"/>
    <col min="777" max="778" width="9.75" customWidth="1"/>
    <col min="779" max="786" width="9" customWidth="1"/>
    <col min="1027" max="1027" width="10" bestFit="1" customWidth="1"/>
    <col min="1028" max="1032" width="9" customWidth="1"/>
    <col min="1033" max="1034" width="9.75" customWidth="1"/>
    <col min="1035" max="1042" width="9" customWidth="1"/>
    <col min="1283" max="1283" width="10" bestFit="1" customWidth="1"/>
    <col min="1284" max="1288" width="9" customWidth="1"/>
    <col min="1289" max="1290" width="9.75" customWidth="1"/>
    <col min="1291" max="1298" width="9" customWidth="1"/>
    <col min="1539" max="1539" width="10" bestFit="1" customWidth="1"/>
    <col min="1540" max="1544" width="9" customWidth="1"/>
    <col min="1545" max="1546" width="9.75" customWidth="1"/>
    <col min="1547" max="1554" width="9" customWidth="1"/>
    <col min="1795" max="1795" width="10" bestFit="1" customWidth="1"/>
    <col min="1796" max="1800" width="9" customWidth="1"/>
    <col min="1801" max="1802" width="9.75" customWidth="1"/>
    <col min="1803" max="1810" width="9" customWidth="1"/>
    <col min="2051" max="2051" width="10" bestFit="1" customWidth="1"/>
    <col min="2052" max="2056" width="9" customWidth="1"/>
    <col min="2057" max="2058" width="9.75" customWidth="1"/>
    <col min="2059" max="2066" width="9" customWidth="1"/>
    <col min="2307" max="2307" width="10" bestFit="1" customWidth="1"/>
    <col min="2308" max="2312" width="9" customWidth="1"/>
    <col min="2313" max="2314" width="9.75" customWidth="1"/>
    <col min="2315" max="2322" width="9" customWidth="1"/>
    <col min="2563" max="2563" width="10" bestFit="1" customWidth="1"/>
    <col min="2564" max="2568" width="9" customWidth="1"/>
    <col min="2569" max="2570" width="9.75" customWidth="1"/>
    <col min="2571" max="2578" width="9" customWidth="1"/>
    <col min="2819" max="2819" width="10" bestFit="1" customWidth="1"/>
    <col min="2820" max="2824" width="9" customWidth="1"/>
    <col min="2825" max="2826" width="9.75" customWidth="1"/>
    <col min="2827" max="2834" width="9" customWidth="1"/>
    <col min="3075" max="3075" width="10" bestFit="1" customWidth="1"/>
    <col min="3076" max="3080" width="9" customWidth="1"/>
    <col min="3081" max="3082" width="9.75" customWidth="1"/>
    <col min="3083" max="3090" width="9" customWidth="1"/>
    <col min="3331" max="3331" width="10" bestFit="1" customWidth="1"/>
    <col min="3332" max="3336" width="9" customWidth="1"/>
    <col min="3337" max="3338" width="9.75" customWidth="1"/>
    <col min="3339" max="3346" width="9" customWidth="1"/>
    <col min="3587" max="3587" width="10" bestFit="1" customWidth="1"/>
    <col min="3588" max="3592" width="9" customWidth="1"/>
    <col min="3593" max="3594" width="9.75" customWidth="1"/>
    <col min="3595" max="3602" width="9" customWidth="1"/>
    <col min="3843" max="3843" width="10" bestFit="1" customWidth="1"/>
    <col min="3844" max="3848" width="9" customWidth="1"/>
    <col min="3849" max="3850" width="9.75" customWidth="1"/>
    <col min="3851" max="3858" width="9" customWidth="1"/>
    <col min="4099" max="4099" width="10" bestFit="1" customWidth="1"/>
    <col min="4100" max="4104" width="9" customWidth="1"/>
    <col min="4105" max="4106" width="9.75" customWidth="1"/>
    <col min="4107" max="4114" width="9" customWidth="1"/>
    <col min="4355" max="4355" width="10" bestFit="1" customWidth="1"/>
    <col min="4356" max="4360" width="9" customWidth="1"/>
    <col min="4361" max="4362" width="9.75" customWidth="1"/>
    <col min="4363" max="4370" width="9" customWidth="1"/>
    <col min="4611" max="4611" width="10" bestFit="1" customWidth="1"/>
    <col min="4612" max="4616" width="9" customWidth="1"/>
    <col min="4617" max="4618" width="9.75" customWidth="1"/>
    <col min="4619" max="4626" width="9" customWidth="1"/>
    <col min="4867" max="4867" width="10" bestFit="1" customWidth="1"/>
    <col min="4868" max="4872" width="9" customWidth="1"/>
    <col min="4873" max="4874" width="9.75" customWidth="1"/>
    <col min="4875" max="4882" width="9" customWidth="1"/>
    <col min="5123" max="5123" width="10" bestFit="1" customWidth="1"/>
    <col min="5124" max="5128" width="9" customWidth="1"/>
    <col min="5129" max="5130" width="9.75" customWidth="1"/>
    <col min="5131" max="5138" width="9" customWidth="1"/>
    <col min="5379" max="5379" width="10" bestFit="1" customWidth="1"/>
    <col min="5380" max="5384" width="9" customWidth="1"/>
    <col min="5385" max="5386" width="9.75" customWidth="1"/>
    <col min="5387" max="5394" width="9" customWidth="1"/>
    <col min="5635" max="5635" width="10" bestFit="1" customWidth="1"/>
    <col min="5636" max="5640" width="9" customWidth="1"/>
    <col min="5641" max="5642" width="9.75" customWidth="1"/>
    <col min="5643" max="5650" width="9" customWidth="1"/>
    <col min="5891" max="5891" width="10" bestFit="1" customWidth="1"/>
    <col min="5892" max="5896" width="9" customWidth="1"/>
    <col min="5897" max="5898" width="9.75" customWidth="1"/>
    <col min="5899" max="5906" width="9" customWidth="1"/>
    <col min="6147" max="6147" width="10" bestFit="1" customWidth="1"/>
    <col min="6148" max="6152" width="9" customWidth="1"/>
    <col min="6153" max="6154" width="9.75" customWidth="1"/>
    <col min="6155" max="6162" width="9" customWidth="1"/>
    <col min="6403" max="6403" width="10" bestFit="1" customWidth="1"/>
    <col min="6404" max="6408" width="9" customWidth="1"/>
    <col min="6409" max="6410" width="9.75" customWidth="1"/>
    <col min="6411" max="6418" width="9" customWidth="1"/>
    <col min="6659" max="6659" width="10" bestFit="1" customWidth="1"/>
    <col min="6660" max="6664" width="9" customWidth="1"/>
    <col min="6665" max="6666" width="9.75" customWidth="1"/>
    <col min="6667" max="6674" width="9" customWidth="1"/>
    <col min="6915" max="6915" width="10" bestFit="1" customWidth="1"/>
    <col min="6916" max="6920" width="9" customWidth="1"/>
    <col min="6921" max="6922" width="9.75" customWidth="1"/>
    <col min="6923" max="6930" width="9" customWidth="1"/>
    <col min="7171" max="7171" width="10" bestFit="1" customWidth="1"/>
    <col min="7172" max="7176" width="9" customWidth="1"/>
    <col min="7177" max="7178" width="9.75" customWidth="1"/>
    <col min="7179" max="7186" width="9" customWidth="1"/>
    <col min="7427" max="7427" width="10" bestFit="1" customWidth="1"/>
    <col min="7428" max="7432" width="9" customWidth="1"/>
    <col min="7433" max="7434" width="9.75" customWidth="1"/>
    <col min="7435" max="7442" width="9" customWidth="1"/>
    <col min="7683" max="7683" width="10" bestFit="1" customWidth="1"/>
    <col min="7684" max="7688" width="9" customWidth="1"/>
    <col min="7689" max="7690" width="9.75" customWidth="1"/>
    <col min="7691" max="7698" width="9" customWidth="1"/>
    <col min="7939" max="7939" width="10" bestFit="1" customWidth="1"/>
    <col min="7940" max="7944" width="9" customWidth="1"/>
    <col min="7945" max="7946" width="9.75" customWidth="1"/>
    <col min="7947" max="7954" width="9" customWidth="1"/>
    <col min="8195" max="8195" width="10" bestFit="1" customWidth="1"/>
    <col min="8196" max="8200" width="9" customWidth="1"/>
    <col min="8201" max="8202" width="9.75" customWidth="1"/>
    <col min="8203" max="8210" width="9" customWidth="1"/>
    <col min="8451" max="8451" width="10" bestFit="1" customWidth="1"/>
    <col min="8452" max="8456" width="9" customWidth="1"/>
    <col min="8457" max="8458" width="9.75" customWidth="1"/>
    <col min="8459" max="8466" width="9" customWidth="1"/>
    <col min="8707" max="8707" width="10" bestFit="1" customWidth="1"/>
    <col min="8708" max="8712" width="9" customWidth="1"/>
    <col min="8713" max="8714" width="9.75" customWidth="1"/>
    <col min="8715" max="8722" width="9" customWidth="1"/>
    <col min="8963" max="8963" width="10" bestFit="1" customWidth="1"/>
    <col min="8964" max="8968" width="9" customWidth="1"/>
    <col min="8969" max="8970" width="9.75" customWidth="1"/>
    <col min="8971" max="8978" width="9" customWidth="1"/>
    <col min="9219" max="9219" width="10" bestFit="1" customWidth="1"/>
    <col min="9220" max="9224" width="9" customWidth="1"/>
    <col min="9225" max="9226" width="9.75" customWidth="1"/>
    <col min="9227" max="9234" width="9" customWidth="1"/>
    <col min="9475" max="9475" width="10" bestFit="1" customWidth="1"/>
    <col min="9476" max="9480" width="9" customWidth="1"/>
    <col min="9481" max="9482" width="9.75" customWidth="1"/>
    <col min="9483" max="9490" width="9" customWidth="1"/>
    <col min="9731" max="9731" width="10" bestFit="1" customWidth="1"/>
    <col min="9732" max="9736" width="9" customWidth="1"/>
    <col min="9737" max="9738" width="9.75" customWidth="1"/>
    <col min="9739" max="9746" width="9" customWidth="1"/>
    <col min="9987" max="9987" width="10" bestFit="1" customWidth="1"/>
    <col min="9988" max="9992" width="9" customWidth="1"/>
    <col min="9993" max="9994" width="9.75" customWidth="1"/>
    <col min="9995" max="10002" width="9" customWidth="1"/>
    <col min="10243" max="10243" width="10" bestFit="1" customWidth="1"/>
    <col min="10244" max="10248" width="9" customWidth="1"/>
    <col min="10249" max="10250" width="9.75" customWidth="1"/>
    <col min="10251" max="10258" width="9" customWidth="1"/>
    <col min="10499" max="10499" width="10" bestFit="1" customWidth="1"/>
    <col min="10500" max="10504" width="9" customWidth="1"/>
    <col min="10505" max="10506" width="9.75" customWidth="1"/>
    <col min="10507" max="10514" width="9" customWidth="1"/>
    <col min="10755" max="10755" width="10" bestFit="1" customWidth="1"/>
    <col min="10756" max="10760" width="9" customWidth="1"/>
    <col min="10761" max="10762" width="9.75" customWidth="1"/>
    <col min="10763" max="10770" width="9" customWidth="1"/>
    <col min="11011" max="11011" width="10" bestFit="1" customWidth="1"/>
    <col min="11012" max="11016" width="9" customWidth="1"/>
    <col min="11017" max="11018" width="9.75" customWidth="1"/>
    <col min="11019" max="11026" width="9" customWidth="1"/>
    <col min="11267" max="11267" width="10" bestFit="1" customWidth="1"/>
    <col min="11268" max="11272" width="9" customWidth="1"/>
    <col min="11273" max="11274" width="9.75" customWidth="1"/>
    <col min="11275" max="11282" width="9" customWidth="1"/>
    <col min="11523" max="11523" width="10" bestFit="1" customWidth="1"/>
    <col min="11524" max="11528" width="9" customWidth="1"/>
    <col min="11529" max="11530" width="9.75" customWidth="1"/>
    <col min="11531" max="11538" width="9" customWidth="1"/>
    <col min="11779" max="11779" width="10" bestFit="1" customWidth="1"/>
    <col min="11780" max="11784" width="9" customWidth="1"/>
    <col min="11785" max="11786" width="9.75" customWidth="1"/>
    <col min="11787" max="11794" width="9" customWidth="1"/>
    <col min="12035" max="12035" width="10" bestFit="1" customWidth="1"/>
    <col min="12036" max="12040" width="9" customWidth="1"/>
    <col min="12041" max="12042" width="9.75" customWidth="1"/>
    <col min="12043" max="12050" width="9" customWidth="1"/>
    <col min="12291" max="12291" width="10" bestFit="1" customWidth="1"/>
    <col min="12292" max="12296" width="9" customWidth="1"/>
    <col min="12297" max="12298" width="9.75" customWidth="1"/>
    <col min="12299" max="12306" width="9" customWidth="1"/>
    <col min="12547" max="12547" width="10" bestFit="1" customWidth="1"/>
    <col min="12548" max="12552" width="9" customWidth="1"/>
    <col min="12553" max="12554" width="9.75" customWidth="1"/>
    <col min="12555" max="12562" width="9" customWidth="1"/>
    <col min="12803" max="12803" width="10" bestFit="1" customWidth="1"/>
    <col min="12804" max="12808" width="9" customWidth="1"/>
    <col min="12809" max="12810" width="9.75" customWidth="1"/>
    <col min="12811" max="12818" width="9" customWidth="1"/>
    <col min="13059" max="13059" width="10" bestFit="1" customWidth="1"/>
    <col min="13060" max="13064" width="9" customWidth="1"/>
    <col min="13065" max="13066" width="9.75" customWidth="1"/>
    <col min="13067" max="13074" width="9" customWidth="1"/>
    <col min="13315" max="13315" width="10" bestFit="1" customWidth="1"/>
    <col min="13316" max="13320" width="9" customWidth="1"/>
    <col min="13321" max="13322" width="9.75" customWidth="1"/>
    <col min="13323" max="13330" width="9" customWidth="1"/>
    <col min="13571" max="13571" width="10" bestFit="1" customWidth="1"/>
    <col min="13572" max="13576" width="9" customWidth="1"/>
    <col min="13577" max="13578" width="9.75" customWidth="1"/>
    <col min="13579" max="13586" width="9" customWidth="1"/>
    <col min="13827" max="13827" width="10" bestFit="1" customWidth="1"/>
    <col min="13828" max="13832" width="9" customWidth="1"/>
    <col min="13833" max="13834" width="9.75" customWidth="1"/>
    <col min="13835" max="13842" width="9" customWidth="1"/>
    <col min="14083" max="14083" width="10" bestFit="1" customWidth="1"/>
    <col min="14084" max="14088" width="9" customWidth="1"/>
    <col min="14089" max="14090" width="9.75" customWidth="1"/>
    <col min="14091" max="14098" width="9" customWidth="1"/>
    <col min="14339" max="14339" width="10" bestFit="1" customWidth="1"/>
    <col min="14340" max="14344" width="9" customWidth="1"/>
    <col min="14345" max="14346" width="9.75" customWidth="1"/>
    <col min="14347" max="14354" width="9" customWidth="1"/>
    <col min="14595" max="14595" width="10" bestFit="1" customWidth="1"/>
    <col min="14596" max="14600" width="9" customWidth="1"/>
    <col min="14601" max="14602" width="9.75" customWidth="1"/>
    <col min="14603" max="14610" width="9" customWidth="1"/>
    <col min="14851" max="14851" width="10" bestFit="1" customWidth="1"/>
    <col min="14852" max="14856" width="9" customWidth="1"/>
    <col min="14857" max="14858" width="9.75" customWidth="1"/>
    <col min="14859" max="14866" width="9" customWidth="1"/>
    <col min="15107" max="15107" width="10" bestFit="1" customWidth="1"/>
    <col min="15108" max="15112" width="9" customWidth="1"/>
    <col min="15113" max="15114" width="9.75" customWidth="1"/>
    <col min="15115" max="15122" width="9" customWidth="1"/>
    <col min="15363" max="15363" width="10" bestFit="1" customWidth="1"/>
    <col min="15364" max="15368" width="9" customWidth="1"/>
    <col min="15369" max="15370" width="9.75" customWidth="1"/>
    <col min="15371" max="15378" width="9" customWidth="1"/>
    <col min="15619" max="15619" width="10" bestFit="1" customWidth="1"/>
    <col min="15620" max="15624" width="9" customWidth="1"/>
    <col min="15625" max="15626" width="9.75" customWidth="1"/>
    <col min="15627" max="15634" width="9" customWidth="1"/>
    <col min="15875" max="15875" width="10" bestFit="1" customWidth="1"/>
    <col min="15876" max="15880" width="9" customWidth="1"/>
    <col min="15881" max="15882" width="9.75" customWidth="1"/>
    <col min="15883" max="15890" width="9" customWidth="1"/>
    <col min="16131" max="16131" width="10" bestFit="1" customWidth="1"/>
    <col min="16132" max="16136" width="9" customWidth="1"/>
    <col min="16137" max="16138" width="9.75" customWidth="1"/>
    <col min="16139" max="16146" width="9" customWidth="1"/>
  </cols>
  <sheetData>
    <row r="2" spans="1:18" x14ac:dyDescent="0.3">
      <c r="B2" s="5" t="s">
        <v>51</v>
      </c>
      <c r="C2" s="6" t="s">
        <v>52</v>
      </c>
      <c r="D2" s="7" t="s">
        <v>53</v>
      </c>
      <c r="E2" s="7" t="s">
        <v>54</v>
      </c>
      <c r="F2" s="7" t="s">
        <v>55</v>
      </c>
      <c r="G2" s="7" t="s">
        <v>56</v>
      </c>
      <c r="H2" s="7" t="s">
        <v>57</v>
      </c>
      <c r="I2" s="7" t="s">
        <v>58</v>
      </c>
      <c r="J2" s="7" t="s">
        <v>59</v>
      </c>
      <c r="K2" s="7" t="s">
        <v>60</v>
      </c>
      <c r="L2" s="7" t="s">
        <v>61</v>
      </c>
      <c r="M2" s="8" t="s">
        <v>62</v>
      </c>
      <c r="N2" s="9" t="s">
        <v>63</v>
      </c>
      <c r="O2" s="10" t="s">
        <v>64</v>
      </c>
      <c r="P2" s="11" t="s">
        <v>65</v>
      </c>
      <c r="Q2" s="12" t="s">
        <v>66</v>
      </c>
      <c r="R2" s="10" t="s">
        <v>67</v>
      </c>
    </row>
    <row r="3" spans="1:18" x14ac:dyDescent="0.3">
      <c r="B3" t="s">
        <v>68</v>
      </c>
      <c r="C3" s="6" t="s">
        <v>69</v>
      </c>
      <c r="D3" s="13">
        <v>16</v>
      </c>
      <c r="E3" s="13">
        <v>14.2</v>
      </c>
      <c r="F3" s="13">
        <v>5</v>
      </c>
      <c r="G3" s="13">
        <v>12</v>
      </c>
      <c r="H3" s="13">
        <v>4</v>
      </c>
      <c r="I3" s="13">
        <v>10.4</v>
      </c>
      <c r="J3" s="13">
        <f t="shared" ref="J3:J24" si="0">(G3-H3)/2</f>
        <v>4</v>
      </c>
      <c r="K3" s="13">
        <f t="shared" ref="K3:K24" si="1">(D3-G3)/2</f>
        <v>2</v>
      </c>
      <c r="L3" s="13">
        <v>34.9</v>
      </c>
      <c r="M3" s="14">
        <v>690</v>
      </c>
      <c r="N3" s="15">
        <v>0.19700000000000001</v>
      </c>
      <c r="O3" s="16">
        <f t="shared" ref="O3:O11" si="2">I3*J3/100</f>
        <v>0.41600000000000004</v>
      </c>
      <c r="P3" s="17">
        <f t="shared" ref="P3:P56" si="3">N3*O3</f>
        <v>8.1952000000000011E-2</v>
      </c>
      <c r="Q3" s="18">
        <f t="shared" ref="Q3:Q56" si="4">N3/O3</f>
        <v>0.47355769230769229</v>
      </c>
      <c r="R3" s="16">
        <f t="shared" ref="R3:R56" si="5">M3/1000/P3</f>
        <v>8.419562670831704</v>
      </c>
    </row>
    <row r="4" spans="1:18" x14ac:dyDescent="0.3">
      <c r="B4" t="s">
        <v>70</v>
      </c>
      <c r="C4" s="6" t="s">
        <v>71</v>
      </c>
      <c r="D4" s="13">
        <v>16</v>
      </c>
      <c r="E4" s="13">
        <v>14.4</v>
      </c>
      <c r="F4" s="13">
        <v>7</v>
      </c>
      <c r="G4" s="13">
        <v>12</v>
      </c>
      <c r="H4" s="13">
        <v>4</v>
      </c>
      <c r="I4" s="13">
        <v>10.6</v>
      </c>
      <c r="J4" s="13">
        <f t="shared" si="0"/>
        <v>4</v>
      </c>
      <c r="K4" s="13">
        <f t="shared" si="1"/>
        <v>2</v>
      </c>
      <c r="L4" s="13">
        <v>35.299999999999997</v>
      </c>
      <c r="M4" s="14">
        <v>970</v>
      </c>
      <c r="N4" s="15">
        <v>0.27500000000000002</v>
      </c>
      <c r="O4" s="16">
        <f t="shared" si="2"/>
        <v>0.42399999999999999</v>
      </c>
      <c r="P4" s="17">
        <f t="shared" si="3"/>
        <v>0.11660000000000001</v>
      </c>
      <c r="Q4" s="18">
        <f t="shared" si="4"/>
        <v>0.64858490566037741</v>
      </c>
      <c r="R4" s="16">
        <f t="shared" si="5"/>
        <v>8.3190394511149215</v>
      </c>
    </row>
    <row r="5" spans="1:18" s="5" customFormat="1" x14ac:dyDescent="0.3">
      <c r="B5" t="s">
        <v>72</v>
      </c>
      <c r="C5" s="6" t="s">
        <v>73</v>
      </c>
      <c r="D5" s="13">
        <v>19.600000000000001</v>
      </c>
      <c r="E5" s="13">
        <f>9.75*2</f>
        <v>19.5</v>
      </c>
      <c r="F5" s="13">
        <v>6</v>
      </c>
      <c r="G5" s="13">
        <v>16.399999999999999</v>
      </c>
      <c r="H5" s="13">
        <v>8.1999999999999993</v>
      </c>
      <c r="I5" s="13">
        <f>7.25*2</f>
        <v>14.5</v>
      </c>
      <c r="J5" s="13">
        <f t="shared" si="0"/>
        <v>4.0999999999999996</v>
      </c>
      <c r="K5" s="13">
        <f t="shared" si="1"/>
        <v>1.6000000000000014</v>
      </c>
      <c r="L5" s="13">
        <v>43.3</v>
      </c>
      <c r="M5" s="14">
        <v>996</v>
      </c>
      <c r="N5" s="15">
        <v>0.23</v>
      </c>
      <c r="O5" s="16">
        <f t="shared" si="2"/>
        <v>0.59449999999999992</v>
      </c>
      <c r="P5" s="17">
        <f t="shared" si="3"/>
        <v>0.136735</v>
      </c>
      <c r="Q5" s="18">
        <f t="shared" si="4"/>
        <v>0.38687973086627425</v>
      </c>
      <c r="R5" s="16">
        <f t="shared" si="5"/>
        <v>7.2841627966504552</v>
      </c>
    </row>
    <row r="6" spans="1:18" x14ac:dyDescent="0.3">
      <c r="B6" t="s">
        <v>74</v>
      </c>
      <c r="C6" s="6" t="s">
        <v>75</v>
      </c>
      <c r="D6" s="13">
        <v>20.5</v>
      </c>
      <c r="E6" s="13">
        <v>20.2</v>
      </c>
      <c r="F6" s="13">
        <v>14</v>
      </c>
      <c r="G6" s="13">
        <v>18</v>
      </c>
      <c r="H6" s="13">
        <v>8.8000000000000007</v>
      </c>
      <c r="I6" s="13">
        <f>7.15*2</f>
        <v>14.3</v>
      </c>
      <c r="J6" s="13">
        <f t="shared" si="0"/>
        <v>4.5999999999999996</v>
      </c>
      <c r="K6" s="13">
        <f t="shared" si="1"/>
        <v>1.25</v>
      </c>
      <c r="L6" s="13">
        <v>45.4</v>
      </c>
      <c r="M6" s="14">
        <v>2815</v>
      </c>
      <c r="N6" s="15">
        <v>0.62</v>
      </c>
      <c r="O6" s="16">
        <f t="shared" si="2"/>
        <v>0.65780000000000005</v>
      </c>
      <c r="P6" s="17">
        <f t="shared" si="3"/>
        <v>0.40783600000000003</v>
      </c>
      <c r="Q6" s="18">
        <f t="shared" si="4"/>
        <v>0.94253572514442074</v>
      </c>
      <c r="R6" s="16">
        <f t="shared" si="5"/>
        <v>6.902284251512862</v>
      </c>
    </row>
    <row r="7" spans="1:18" x14ac:dyDescent="0.3">
      <c r="B7" t="s">
        <v>76</v>
      </c>
      <c r="C7" s="6" t="s">
        <v>77</v>
      </c>
      <c r="D7" s="13">
        <v>25.6</v>
      </c>
      <c r="E7" s="13">
        <f>12.5*2</f>
        <v>25</v>
      </c>
      <c r="F7" s="13">
        <v>9.1</v>
      </c>
      <c r="G7" s="13">
        <v>19.3</v>
      </c>
      <c r="H7" s="13">
        <v>11.4</v>
      </c>
      <c r="I7" s="13">
        <f>9.3*2</f>
        <v>18.600000000000001</v>
      </c>
      <c r="J7" s="13">
        <f t="shared" si="0"/>
        <v>3.95</v>
      </c>
      <c r="K7" s="13">
        <f t="shared" si="1"/>
        <v>3.1500000000000004</v>
      </c>
      <c r="L7" s="13">
        <v>57.07</v>
      </c>
      <c r="M7" s="14">
        <v>3326</v>
      </c>
      <c r="N7" s="15">
        <v>0.57999999999999996</v>
      </c>
      <c r="O7" s="16">
        <f t="shared" si="2"/>
        <v>0.73470000000000013</v>
      </c>
      <c r="P7" s="17">
        <f t="shared" si="3"/>
        <v>0.42612600000000006</v>
      </c>
      <c r="Q7" s="18">
        <f t="shared" si="4"/>
        <v>0.78943786579556263</v>
      </c>
      <c r="R7" s="16">
        <f t="shared" si="5"/>
        <v>7.8052031558740831</v>
      </c>
    </row>
    <row r="8" spans="1:18" x14ac:dyDescent="0.3">
      <c r="A8" s="19"/>
      <c r="B8" s="19" t="s">
        <v>78</v>
      </c>
      <c r="C8" s="20" t="s">
        <v>79</v>
      </c>
      <c r="D8" s="21">
        <v>21.8</v>
      </c>
      <c r="E8" s="21">
        <f>5.7*2</f>
        <v>11.4</v>
      </c>
      <c r="F8" s="21">
        <v>15.8</v>
      </c>
      <c r="G8" s="21">
        <v>16.8</v>
      </c>
      <c r="H8" s="21">
        <v>5</v>
      </c>
      <c r="I8" s="21">
        <f>3.2*2</f>
        <v>6.4</v>
      </c>
      <c r="J8" s="21">
        <f t="shared" si="0"/>
        <v>5.9</v>
      </c>
      <c r="K8" s="21">
        <f t="shared" si="1"/>
        <v>2.5</v>
      </c>
      <c r="L8" s="21">
        <v>32.5</v>
      </c>
      <c r="M8" s="22">
        <v>2560</v>
      </c>
      <c r="N8" s="15">
        <v>0.79</v>
      </c>
      <c r="O8" s="23">
        <f t="shared" si="2"/>
        <v>0.37760000000000005</v>
      </c>
      <c r="P8" s="17">
        <f t="shared" si="3"/>
        <v>0.29830400000000007</v>
      </c>
      <c r="Q8" s="24">
        <f t="shared" si="4"/>
        <v>2.0921610169491522</v>
      </c>
      <c r="R8" s="23">
        <f t="shared" si="5"/>
        <v>8.5818493885432297</v>
      </c>
    </row>
    <row r="9" spans="1:18" x14ac:dyDescent="0.3">
      <c r="B9" t="s">
        <v>70</v>
      </c>
      <c r="C9" s="6" t="s">
        <v>80</v>
      </c>
      <c r="D9" s="13">
        <v>25.4</v>
      </c>
      <c r="E9" s="13">
        <f>12.6*2</f>
        <v>25.2</v>
      </c>
      <c r="F9" s="13">
        <v>7.5</v>
      </c>
      <c r="G9" s="13">
        <v>17.649999999999999</v>
      </c>
      <c r="H9" s="13">
        <v>7.5</v>
      </c>
      <c r="I9" s="13">
        <f>8.9*2</f>
        <v>17.8</v>
      </c>
      <c r="J9" s="13">
        <f t="shared" si="0"/>
        <v>5.0749999999999993</v>
      </c>
      <c r="K9" s="13">
        <f t="shared" si="1"/>
        <v>3.875</v>
      </c>
      <c r="L9" s="13">
        <v>57.5</v>
      </c>
      <c r="M9" s="14">
        <v>3260</v>
      </c>
      <c r="N9" s="15">
        <v>0.56699999999999995</v>
      </c>
      <c r="O9" s="16">
        <f t="shared" si="2"/>
        <v>0.90334999999999999</v>
      </c>
      <c r="P9" s="17">
        <f t="shared" si="3"/>
        <v>0.51219945</v>
      </c>
      <c r="Q9" s="18">
        <f t="shared" si="4"/>
        <v>0.62766369624176666</v>
      </c>
      <c r="R9" s="16">
        <f t="shared" si="5"/>
        <v>6.3647081229782652</v>
      </c>
    </row>
    <row r="10" spans="1:18" x14ac:dyDescent="0.3">
      <c r="B10" t="s">
        <v>70</v>
      </c>
      <c r="C10" s="6" t="s">
        <v>81</v>
      </c>
      <c r="D10" s="13">
        <v>28.5</v>
      </c>
      <c r="E10" s="13">
        <f>10.45*2</f>
        <v>20.9</v>
      </c>
      <c r="F10" s="13">
        <v>10.8</v>
      </c>
      <c r="G10" s="13">
        <v>20.7</v>
      </c>
      <c r="H10" s="13">
        <v>7.15</v>
      </c>
      <c r="I10" s="13">
        <f>6.65*2</f>
        <v>13.3</v>
      </c>
      <c r="J10" s="13">
        <f t="shared" si="0"/>
        <v>6.7749999999999995</v>
      </c>
      <c r="K10" s="13">
        <f t="shared" si="1"/>
        <v>3.9000000000000004</v>
      </c>
      <c r="L10" s="13">
        <v>51.9</v>
      </c>
      <c r="M10" s="14">
        <v>4210</v>
      </c>
      <c r="N10" s="15">
        <v>0.81100000000000005</v>
      </c>
      <c r="O10" s="16">
        <f t="shared" si="2"/>
        <v>0.90107500000000007</v>
      </c>
      <c r="P10" s="17">
        <f t="shared" si="3"/>
        <v>0.73077182500000015</v>
      </c>
      <c r="Q10" s="18">
        <f t="shared" si="4"/>
        <v>0.90003606802985325</v>
      </c>
      <c r="R10" s="16">
        <f t="shared" si="5"/>
        <v>5.7610321799147073</v>
      </c>
    </row>
    <row r="11" spans="1:18" x14ac:dyDescent="0.3">
      <c r="B11" t="s">
        <v>74</v>
      </c>
      <c r="C11" s="6" t="s">
        <v>82</v>
      </c>
      <c r="D11" s="13">
        <v>26.6</v>
      </c>
      <c r="E11" s="13">
        <v>25</v>
      </c>
      <c r="F11" s="13">
        <v>19</v>
      </c>
      <c r="G11" s="13">
        <v>22.5</v>
      </c>
      <c r="H11" s="13">
        <v>12</v>
      </c>
      <c r="I11" s="13">
        <v>15.8</v>
      </c>
      <c r="J11" s="13">
        <f t="shared" si="0"/>
        <v>5.25</v>
      </c>
      <c r="K11" s="13">
        <f t="shared" si="1"/>
        <v>2.0500000000000007</v>
      </c>
      <c r="L11" s="13">
        <v>57.07</v>
      </c>
      <c r="M11" s="14">
        <v>3326</v>
      </c>
      <c r="N11" s="15">
        <v>1.18</v>
      </c>
      <c r="O11" s="16">
        <f t="shared" si="2"/>
        <v>0.82950000000000002</v>
      </c>
      <c r="P11" s="17">
        <f t="shared" si="3"/>
        <v>0.97880999999999996</v>
      </c>
      <c r="Q11" s="18">
        <f t="shared" si="4"/>
        <v>1.4225437010247135</v>
      </c>
      <c r="R11" s="16">
        <f t="shared" si="5"/>
        <v>3.3980036983684272</v>
      </c>
    </row>
    <row r="12" spans="1:18" x14ac:dyDescent="0.3">
      <c r="B12" t="s">
        <v>83</v>
      </c>
      <c r="C12" s="6" t="s">
        <v>84</v>
      </c>
      <c r="D12" s="13">
        <v>31.5</v>
      </c>
      <c r="E12" s="13">
        <f>2*11.9</f>
        <v>23.8</v>
      </c>
      <c r="F12" s="13">
        <v>20.3</v>
      </c>
      <c r="G12" s="13">
        <v>26.9</v>
      </c>
      <c r="H12" s="13">
        <v>13.3</v>
      </c>
      <c r="I12" s="13">
        <f>18.2</f>
        <v>18.2</v>
      </c>
      <c r="J12" s="13">
        <f t="shared" si="0"/>
        <v>6.7999999999999989</v>
      </c>
      <c r="K12" s="13">
        <f t="shared" si="1"/>
        <v>2.3000000000000007</v>
      </c>
      <c r="L12" s="13">
        <v>59.1</v>
      </c>
      <c r="M12" s="14">
        <v>7903</v>
      </c>
      <c r="N12" s="15">
        <v>1.37</v>
      </c>
      <c r="O12" s="16">
        <v>1.59</v>
      </c>
      <c r="P12" s="17">
        <f t="shared" si="3"/>
        <v>2.1783000000000001</v>
      </c>
      <c r="Q12" s="18">
        <f t="shared" si="4"/>
        <v>0.86163522012578619</v>
      </c>
      <c r="R12" s="16">
        <f t="shared" si="5"/>
        <v>3.6280585777900192</v>
      </c>
    </row>
    <row r="13" spans="1:18" x14ac:dyDescent="0.3">
      <c r="B13" t="s">
        <v>74</v>
      </c>
      <c r="C13" s="6" t="s">
        <v>85</v>
      </c>
      <c r="D13" s="13">
        <v>32</v>
      </c>
      <c r="E13" s="13">
        <f>15.475*2</f>
        <v>30.95</v>
      </c>
      <c r="F13" s="13">
        <v>22</v>
      </c>
      <c r="G13" s="13">
        <v>27.5</v>
      </c>
      <c r="H13" s="13">
        <v>13.45</v>
      </c>
      <c r="I13" s="13">
        <f>10.95*2</f>
        <v>21.9</v>
      </c>
      <c r="J13" s="13">
        <f t="shared" si="0"/>
        <v>7.0250000000000004</v>
      </c>
      <c r="K13" s="13">
        <f t="shared" si="1"/>
        <v>2.25</v>
      </c>
      <c r="L13" s="13">
        <v>75.8</v>
      </c>
      <c r="M13" s="14">
        <f>2*12204</f>
        <v>24408</v>
      </c>
      <c r="N13" s="15">
        <v>1.61</v>
      </c>
      <c r="O13" s="16">
        <f>I13*J13/100</f>
        <v>1.538475</v>
      </c>
      <c r="P13" s="17">
        <f t="shared" si="3"/>
        <v>2.4769447500000004</v>
      </c>
      <c r="Q13" s="18">
        <f t="shared" si="4"/>
        <v>1.0464908432051221</v>
      </c>
      <c r="R13" s="16">
        <f t="shared" si="5"/>
        <v>9.8540752675246388</v>
      </c>
    </row>
    <row r="14" spans="1:18" x14ac:dyDescent="0.3">
      <c r="B14" t="s">
        <v>70</v>
      </c>
      <c r="C14" s="6" t="s">
        <v>86</v>
      </c>
      <c r="D14" s="13">
        <v>39.9</v>
      </c>
      <c r="E14" s="13">
        <f>17.3*2</f>
        <v>34.6</v>
      </c>
      <c r="F14" s="13">
        <v>11.7</v>
      </c>
      <c r="G14" s="13">
        <v>29.5</v>
      </c>
      <c r="H14" s="13">
        <v>11.65</v>
      </c>
      <c r="I14" s="13">
        <f>10.2*2</f>
        <v>20.399999999999999</v>
      </c>
      <c r="J14" s="13">
        <f t="shared" si="0"/>
        <v>8.9250000000000007</v>
      </c>
      <c r="K14" s="13">
        <f t="shared" si="1"/>
        <v>5.1999999999999993</v>
      </c>
      <c r="L14" s="13">
        <v>75.599999999999994</v>
      </c>
      <c r="M14" s="14">
        <v>11620</v>
      </c>
      <c r="N14" s="15">
        <v>1.538</v>
      </c>
      <c r="O14" s="16">
        <f>I14*J14/100</f>
        <v>1.8207</v>
      </c>
      <c r="P14" s="17">
        <f t="shared" si="3"/>
        <v>2.8002365999999999</v>
      </c>
      <c r="Q14" s="18">
        <f t="shared" si="4"/>
        <v>0.84473004888229808</v>
      </c>
      <c r="R14" s="16">
        <f t="shared" si="5"/>
        <v>4.1496493546295339</v>
      </c>
    </row>
    <row r="15" spans="1:18" x14ac:dyDescent="0.3">
      <c r="B15" t="s">
        <v>76</v>
      </c>
      <c r="C15" s="6" t="s">
        <v>87</v>
      </c>
      <c r="D15" s="13">
        <v>50</v>
      </c>
      <c r="E15" s="13">
        <v>50</v>
      </c>
      <c r="F15" s="13">
        <v>10</v>
      </c>
      <c r="G15" s="13">
        <v>35</v>
      </c>
      <c r="H15" s="13">
        <v>23</v>
      </c>
      <c r="I15" s="13">
        <v>34</v>
      </c>
      <c r="J15" s="13">
        <f t="shared" si="0"/>
        <v>6</v>
      </c>
      <c r="K15" s="13">
        <f t="shared" si="1"/>
        <v>7.5</v>
      </c>
      <c r="L15" s="13">
        <v>113</v>
      </c>
      <c r="M15" s="14">
        <f>2*15463</f>
        <v>30926</v>
      </c>
      <c r="N15" s="15">
        <v>1.5149999999999999</v>
      </c>
      <c r="O15" s="16">
        <f>I15*J15/100</f>
        <v>2.04</v>
      </c>
      <c r="P15" s="17">
        <f t="shared" si="3"/>
        <v>3.0905999999999998</v>
      </c>
      <c r="Q15" s="18">
        <f t="shared" si="4"/>
        <v>0.74264705882352933</v>
      </c>
      <c r="R15" s="16">
        <f t="shared" si="5"/>
        <v>10.006471235358831</v>
      </c>
    </row>
    <row r="16" spans="1:18" x14ac:dyDescent="0.3">
      <c r="B16" t="s">
        <v>83</v>
      </c>
      <c r="C16" s="6" t="s">
        <v>88</v>
      </c>
      <c r="D16" s="13">
        <v>39.1</v>
      </c>
      <c r="E16" s="13">
        <v>42</v>
      </c>
      <c r="F16" s="13">
        <v>12.5</v>
      </c>
      <c r="G16" s="13">
        <v>30.1</v>
      </c>
      <c r="H16" s="13">
        <v>12.5</v>
      </c>
      <c r="I16" s="13">
        <v>31.6</v>
      </c>
      <c r="J16" s="13">
        <f t="shared" si="0"/>
        <v>8.8000000000000007</v>
      </c>
      <c r="K16" s="13">
        <f t="shared" si="1"/>
        <v>4.5</v>
      </c>
      <c r="L16" s="13">
        <v>97.4</v>
      </c>
      <c r="M16" s="14">
        <v>12150</v>
      </c>
      <c r="N16" s="15">
        <v>1.24</v>
      </c>
      <c r="O16" s="16">
        <f>I16*J16/100</f>
        <v>2.7808000000000006</v>
      </c>
      <c r="P16" s="17">
        <f t="shared" si="3"/>
        <v>3.4481920000000006</v>
      </c>
      <c r="Q16" s="18">
        <f t="shared" si="4"/>
        <v>0.44591484464902176</v>
      </c>
      <c r="R16" s="16">
        <f t="shared" si="5"/>
        <v>3.5235856936040681</v>
      </c>
    </row>
    <row r="17" spans="1:18" x14ac:dyDescent="0.3">
      <c r="B17" t="s">
        <v>89</v>
      </c>
      <c r="C17" s="6" t="s">
        <v>90</v>
      </c>
      <c r="D17" s="13">
        <v>39.799999999999997</v>
      </c>
      <c r="E17" s="13">
        <v>28</v>
      </c>
      <c r="F17" s="13">
        <v>28.3</v>
      </c>
      <c r="G17" s="13">
        <v>33.200000000000003</v>
      </c>
      <c r="H17" s="13">
        <v>16</v>
      </c>
      <c r="I17" s="13">
        <v>20.8</v>
      </c>
      <c r="J17" s="13">
        <f t="shared" si="0"/>
        <v>8.6000000000000014</v>
      </c>
      <c r="K17" s="13">
        <f t="shared" si="1"/>
        <v>3.2999999999999972</v>
      </c>
      <c r="L17" s="13">
        <v>67.3</v>
      </c>
      <c r="M17" s="14">
        <f>2*15027</f>
        <v>30054</v>
      </c>
      <c r="N17" s="15">
        <v>2.0499999999999998</v>
      </c>
      <c r="O17" s="16">
        <f>I17*J17/100</f>
        <v>1.7888000000000002</v>
      </c>
      <c r="P17" s="17">
        <f t="shared" si="3"/>
        <v>3.6670400000000001</v>
      </c>
      <c r="Q17" s="18">
        <f t="shared" si="4"/>
        <v>1.146019677996422</v>
      </c>
      <c r="R17" s="16">
        <f t="shared" si="5"/>
        <v>8.1957109821545444</v>
      </c>
    </row>
    <row r="18" spans="1:18" x14ac:dyDescent="0.3">
      <c r="B18" t="s">
        <v>83</v>
      </c>
      <c r="C18" s="6" t="s">
        <v>91</v>
      </c>
      <c r="D18" s="13">
        <v>42</v>
      </c>
      <c r="E18" s="13">
        <v>32.4</v>
      </c>
      <c r="F18" s="13">
        <v>19.600000000000001</v>
      </c>
      <c r="G18" s="13">
        <v>32.299999999999997</v>
      </c>
      <c r="H18" s="13">
        <v>17.3</v>
      </c>
      <c r="I18" s="13">
        <v>20.5</v>
      </c>
      <c r="J18" s="13">
        <f t="shared" si="0"/>
        <v>7.4999999999999982</v>
      </c>
      <c r="K18" s="13">
        <f t="shared" si="1"/>
        <v>4.8500000000000014</v>
      </c>
      <c r="L18" s="13">
        <v>81.400000000000006</v>
      </c>
      <c r="M18" s="14">
        <v>18966</v>
      </c>
      <c r="N18" s="15">
        <v>2.33</v>
      </c>
      <c r="O18" s="16">
        <v>1.59</v>
      </c>
      <c r="P18" s="17">
        <f t="shared" si="3"/>
        <v>3.7047000000000003</v>
      </c>
      <c r="Q18" s="18">
        <f t="shared" si="4"/>
        <v>1.4654088050314464</v>
      </c>
      <c r="R18" s="16">
        <f t="shared" si="5"/>
        <v>5.1194428698680055</v>
      </c>
    </row>
    <row r="19" spans="1:18" x14ac:dyDescent="0.3">
      <c r="B19" t="s">
        <v>92</v>
      </c>
      <c r="C19" s="6" t="s">
        <v>93</v>
      </c>
      <c r="D19" s="13">
        <v>51</v>
      </c>
      <c r="E19" s="13">
        <f>10.16*2</f>
        <v>20.32</v>
      </c>
      <c r="F19" s="13">
        <v>38.1</v>
      </c>
      <c r="G19" s="13">
        <v>41.8</v>
      </c>
      <c r="H19" s="13">
        <v>20</v>
      </c>
      <c r="I19" s="13">
        <f>4.95*2</f>
        <v>9.9</v>
      </c>
      <c r="J19" s="13">
        <f t="shared" si="0"/>
        <v>10.899999999999999</v>
      </c>
      <c r="K19" s="13">
        <f t="shared" si="1"/>
        <v>4.6000000000000014</v>
      </c>
      <c r="L19" s="13">
        <v>73.5</v>
      </c>
      <c r="M19" s="14">
        <f>2*25800</f>
        <v>51600</v>
      </c>
      <c r="N19" s="15">
        <v>3.51</v>
      </c>
      <c r="O19" s="16">
        <f t="shared" ref="O19:O56" si="6">I19*J19/100</f>
        <v>1.0790999999999999</v>
      </c>
      <c r="P19" s="17">
        <f t="shared" si="3"/>
        <v>3.7876409999999994</v>
      </c>
      <c r="Q19" s="18">
        <f t="shared" si="4"/>
        <v>3.2527105921601334</v>
      </c>
      <c r="R19" s="16">
        <f t="shared" si="5"/>
        <v>13.623255213469283</v>
      </c>
    </row>
    <row r="20" spans="1:18" x14ac:dyDescent="0.3">
      <c r="B20" t="s">
        <v>74</v>
      </c>
      <c r="C20" s="6" t="s">
        <v>94</v>
      </c>
      <c r="D20" s="13">
        <v>35.1</v>
      </c>
      <c r="E20" s="13">
        <f>17.5*2</f>
        <v>35</v>
      </c>
      <c r="F20" s="13">
        <v>26</v>
      </c>
      <c r="G20" s="13">
        <v>32</v>
      </c>
      <c r="H20" s="13">
        <v>14.35</v>
      </c>
      <c r="I20" s="13">
        <f>12.35*2</f>
        <v>24.7</v>
      </c>
      <c r="J20" s="13">
        <f t="shared" si="0"/>
        <v>8.8249999999999993</v>
      </c>
      <c r="K20" s="13">
        <f t="shared" si="1"/>
        <v>1.5500000000000007</v>
      </c>
      <c r="L20" s="13">
        <v>87.9</v>
      </c>
      <c r="M20" s="14">
        <f>2*17228</f>
        <v>34456</v>
      </c>
      <c r="N20" s="15">
        <v>1.96</v>
      </c>
      <c r="O20" s="16">
        <f t="shared" si="6"/>
        <v>2.1797749999999998</v>
      </c>
      <c r="P20" s="17">
        <f t="shared" si="3"/>
        <v>4.2723589999999998</v>
      </c>
      <c r="Q20" s="18">
        <f t="shared" si="4"/>
        <v>0.89917537360507394</v>
      </c>
      <c r="R20" s="16">
        <f t="shared" si="5"/>
        <v>8.0648653355207287</v>
      </c>
    </row>
    <row r="21" spans="1:18" x14ac:dyDescent="0.3">
      <c r="B21" t="s">
        <v>83</v>
      </c>
      <c r="C21" s="6" t="s">
        <v>95</v>
      </c>
      <c r="D21" s="13">
        <v>42</v>
      </c>
      <c r="E21" s="13">
        <v>42.4</v>
      </c>
      <c r="F21" s="13">
        <v>20</v>
      </c>
      <c r="G21" s="13">
        <v>32.299999999999997</v>
      </c>
      <c r="H21" s="13">
        <v>17.3</v>
      </c>
      <c r="I21" s="13">
        <v>30</v>
      </c>
      <c r="J21" s="13">
        <f t="shared" si="0"/>
        <v>7.4999999999999982</v>
      </c>
      <c r="K21" s="13">
        <f t="shared" si="1"/>
        <v>4.8500000000000014</v>
      </c>
      <c r="L21" s="13">
        <v>95.1</v>
      </c>
      <c r="M21" s="14">
        <v>22280</v>
      </c>
      <c r="N21" s="15">
        <v>2.34</v>
      </c>
      <c r="O21" s="16">
        <f t="shared" si="6"/>
        <v>2.2499999999999996</v>
      </c>
      <c r="P21" s="17">
        <f t="shared" si="3"/>
        <v>5.2649999999999988</v>
      </c>
      <c r="Q21" s="18">
        <f t="shared" si="4"/>
        <v>1.04</v>
      </c>
      <c r="R21" s="16">
        <f t="shared" si="5"/>
        <v>4.2317188983855658</v>
      </c>
    </row>
    <row r="22" spans="1:18" x14ac:dyDescent="0.3">
      <c r="B22" t="s">
        <v>70</v>
      </c>
      <c r="C22" s="6" t="s">
        <v>96</v>
      </c>
      <c r="D22" s="13">
        <v>43</v>
      </c>
      <c r="E22" s="13">
        <f>21.2*2</f>
        <v>42.4</v>
      </c>
      <c r="F22" s="13">
        <v>20</v>
      </c>
      <c r="G22" s="13">
        <v>29.5</v>
      </c>
      <c r="H22" s="13">
        <v>12.2</v>
      </c>
      <c r="I22" s="13">
        <f>14.8*2</f>
        <v>29.6</v>
      </c>
      <c r="J22" s="13">
        <f t="shared" si="0"/>
        <v>8.65</v>
      </c>
      <c r="K22" s="13">
        <f t="shared" si="1"/>
        <v>6.75</v>
      </c>
      <c r="L22" s="13">
        <v>96.5</v>
      </c>
      <c r="M22" s="14">
        <v>24690</v>
      </c>
      <c r="N22" s="15">
        <v>2.35</v>
      </c>
      <c r="O22" s="16">
        <f t="shared" si="6"/>
        <v>2.5604</v>
      </c>
      <c r="P22" s="17">
        <f t="shared" si="3"/>
        <v>6.01694</v>
      </c>
      <c r="Q22" s="18">
        <f t="shared" si="4"/>
        <v>0.91782533979065772</v>
      </c>
      <c r="R22" s="16">
        <f t="shared" si="5"/>
        <v>4.1034146925181236</v>
      </c>
    </row>
    <row r="23" spans="1:18" x14ac:dyDescent="0.3">
      <c r="B23" s="19" t="s">
        <v>74</v>
      </c>
      <c r="C23" s="20" t="s">
        <v>97</v>
      </c>
      <c r="D23" s="21">
        <v>40</v>
      </c>
      <c r="E23" s="21">
        <v>40</v>
      </c>
      <c r="F23" s="21">
        <v>28</v>
      </c>
      <c r="G23" s="21">
        <v>37</v>
      </c>
      <c r="H23" s="21">
        <v>14.9</v>
      </c>
      <c r="I23" s="21">
        <f>14.6*2</f>
        <v>29.2</v>
      </c>
      <c r="J23" s="21">
        <f t="shared" si="0"/>
        <v>11.05</v>
      </c>
      <c r="K23" s="21">
        <f t="shared" si="1"/>
        <v>1.5</v>
      </c>
      <c r="L23" s="21">
        <v>101.9</v>
      </c>
      <c r="M23" s="22">
        <f>2*20482</f>
        <v>40964</v>
      </c>
      <c r="N23" s="23">
        <v>2.0099999999999998</v>
      </c>
      <c r="O23" s="23">
        <f t="shared" si="6"/>
        <v>3.2266000000000004</v>
      </c>
      <c r="P23" s="25">
        <f t="shared" si="3"/>
        <v>6.4854659999999997</v>
      </c>
      <c r="Q23" s="24">
        <f t="shared" si="4"/>
        <v>0.62294675509824571</v>
      </c>
      <c r="R23" s="23">
        <f t="shared" si="5"/>
        <v>6.316277041618906</v>
      </c>
    </row>
    <row r="24" spans="1:18" x14ac:dyDescent="0.3">
      <c r="B24" s="19" t="s">
        <v>83</v>
      </c>
      <c r="C24" s="20" t="s">
        <v>98</v>
      </c>
      <c r="D24" s="21">
        <v>49</v>
      </c>
      <c r="E24" s="21">
        <v>54</v>
      </c>
      <c r="F24" s="21">
        <v>17.2</v>
      </c>
      <c r="G24" s="21">
        <v>36.4</v>
      </c>
      <c r="H24" s="21">
        <v>17.2</v>
      </c>
      <c r="I24" s="21">
        <v>37</v>
      </c>
      <c r="J24" s="21">
        <f t="shared" si="0"/>
        <v>9.6</v>
      </c>
      <c r="K24" s="21">
        <f t="shared" si="1"/>
        <v>6.3000000000000007</v>
      </c>
      <c r="L24" s="21">
        <v>118</v>
      </c>
      <c r="M24" s="22">
        <v>28460</v>
      </c>
      <c r="N24" s="23">
        <v>2.41</v>
      </c>
      <c r="O24" s="23">
        <f t="shared" si="6"/>
        <v>3.552</v>
      </c>
      <c r="P24" s="25">
        <f t="shared" si="3"/>
        <v>8.5603200000000008</v>
      </c>
      <c r="Q24" s="24">
        <f t="shared" si="4"/>
        <v>0.67849099099099097</v>
      </c>
      <c r="R24" s="23">
        <f t="shared" si="5"/>
        <v>3.3246420694553471</v>
      </c>
    </row>
    <row r="25" spans="1:18" x14ac:dyDescent="0.3">
      <c r="B25" t="s">
        <v>99</v>
      </c>
      <c r="C25" s="6" t="s">
        <v>100</v>
      </c>
      <c r="D25" s="13">
        <v>16</v>
      </c>
      <c r="E25" s="13">
        <v>20</v>
      </c>
      <c r="F25" s="13">
        <v>6</v>
      </c>
      <c r="G25" s="13">
        <v>39.299999999999997</v>
      </c>
      <c r="H25" s="13">
        <f>(D25-G25)/2</f>
        <v>-11.649999999999999</v>
      </c>
      <c r="I25" s="13">
        <f>2*45.1</f>
        <v>90.2</v>
      </c>
      <c r="J25" s="13">
        <f>G25</f>
        <v>39.299999999999997</v>
      </c>
      <c r="K25" s="13">
        <f>H25</f>
        <v>-11.649999999999999</v>
      </c>
      <c r="L25" s="13">
        <f>353*2</f>
        <v>706</v>
      </c>
      <c r="M25" s="14">
        <f>2*315935</f>
        <v>631870</v>
      </c>
      <c r="N25" s="15">
        <v>0.25900000000000001</v>
      </c>
      <c r="O25" s="16">
        <f t="shared" si="6"/>
        <v>35.448599999999999</v>
      </c>
      <c r="P25" s="17">
        <f t="shared" si="3"/>
        <v>9.1811874000000007</v>
      </c>
      <c r="Q25" s="18">
        <f t="shared" si="4"/>
        <v>7.3063534243947579E-3</v>
      </c>
      <c r="R25" s="16">
        <f t="shared" si="5"/>
        <v>68.822252773099905</v>
      </c>
    </row>
    <row r="26" spans="1:18" x14ac:dyDescent="0.3">
      <c r="B26" t="s">
        <v>92</v>
      </c>
      <c r="C26" s="6" t="s">
        <v>101</v>
      </c>
      <c r="D26" s="13">
        <v>64</v>
      </c>
      <c r="E26" s="13">
        <f>12.7*2</f>
        <v>25.4</v>
      </c>
      <c r="F26" s="13">
        <v>50.8</v>
      </c>
      <c r="G26" s="13">
        <v>53.5</v>
      </c>
      <c r="H26" s="13">
        <v>25.4</v>
      </c>
      <c r="I26" s="13">
        <v>12.5</v>
      </c>
      <c r="J26" s="13">
        <f t="shared" ref="J26:J36" si="7">(G26-H26)/2</f>
        <v>14.05</v>
      </c>
      <c r="K26" s="13">
        <f t="shared" ref="K26:K36" si="8">(D26-G26)/2</f>
        <v>5.25</v>
      </c>
      <c r="L26" s="13">
        <v>93</v>
      </c>
      <c r="M26" s="14">
        <f>2*52600</f>
        <v>105200</v>
      </c>
      <c r="N26" s="15">
        <v>5.66</v>
      </c>
      <c r="O26" s="16">
        <f t="shared" si="6"/>
        <v>1.7562500000000001</v>
      </c>
      <c r="P26" s="17">
        <f t="shared" si="3"/>
        <v>9.9403750000000013</v>
      </c>
      <c r="Q26" s="18">
        <f t="shared" si="4"/>
        <v>3.2227758007117435</v>
      </c>
      <c r="R26" s="16">
        <f t="shared" si="5"/>
        <v>10.58310174414949</v>
      </c>
    </row>
    <row r="27" spans="1:18" x14ac:dyDescent="0.3">
      <c r="A27" s="19"/>
      <c r="B27" s="19" t="s">
        <v>83</v>
      </c>
      <c r="C27" s="20" t="s">
        <v>102</v>
      </c>
      <c r="D27" s="21">
        <v>53.2</v>
      </c>
      <c r="E27" s="21">
        <f>2*23.2</f>
        <v>46.4</v>
      </c>
      <c r="F27" s="21">
        <v>21.5</v>
      </c>
      <c r="G27" s="21">
        <v>39.200000000000003</v>
      </c>
      <c r="H27" s="21">
        <v>20</v>
      </c>
      <c r="I27" s="21">
        <f>2*16.3</f>
        <v>32.6</v>
      </c>
      <c r="J27" s="21">
        <f t="shared" si="7"/>
        <v>9.6000000000000014</v>
      </c>
      <c r="K27" s="21">
        <f t="shared" si="8"/>
        <v>7</v>
      </c>
      <c r="L27" s="21">
        <v>107.8</v>
      </c>
      <c r="M27" s="22">
        <v>34363</v>
      </c>
      <c r="N27" s="23">
        <v>3.19</v>
      </c>
      <c r="O27" s="23">
        <f t="shared" si="6"/>
        <v>3.1296000000000004</v>
      </c>
      <c r="P27" s="25">
        <f t="shared" si="3"/>
        <v>9.9834240000000012</v>
      </c>
      <c r="Q27" s="24">
        <f t="shared" si="4"/>
        <v>1.0192995910020448</v>
      </c>
      <c r="R27" s="23">
        <f t="shared" si="5"/>
        <v>3.4420054682641941</v>
      </c>
    </row>
    <row r="28" spans="1:18" x14ac:dyDescent="0.3">
      <c r="B28" t="s">
        <v>103</v>
      </c>
      <c r="C28" s="6" t="s">
        <v>104</v>
      </c>
      <c r="D28" s="13">
        <v>63.8</v>
      </c>
      <c r="E28" s="13">
        <f>10.2*2</f>
        <v>20.399999999999999</v>
      </c>
      <c r="F28" s="13">
        <v>50.3</v>
      </c>
      <c r="G28" s="13">
        <v>53.6</v>
      </c>
      <c r="H28" s="13">
        <f>5.1*2</f>
        <v>10.199999999999999</v>
      </c>
      <c r="I28" s="13">
        <v>10.199999999999999</v>
      </c>
      <c r="J28" s="13">
        <f t="shared" si="7"/>
        <v>21.700000000000003</v>
      </c>
      <c r="K28" s="13">
        <f t="shared" si="8"/>
        <v>5.0999999999999979</v>
      </c>
      <c r="L28" s="13">
        <v>113</v>
      </c>
      <c r="M28" s="14">
        <f>2*41500</f>
        <v>83000</v>
      </c>
      <c r="N28" s="15">
        <v>5.19</v>
      </c>
      <c r="O28" s="16">
        <f t="shared" si="6"/>
        <v>2.2134</v>
      </c>
      <c r="P28" s="17">
        <f t="shared" si="3"/>
        <v>11.487546000000002</v>
      </c>
      <c r="Q28" s="18">
        <f t="shared" si="4"/>
        <v>2.344808891298455</v>
      </c>
      <c r="R28" s="16">
        <f t="shared" si="5"/>
        <v>7.2252158990266491</v>
      </c>
    </row>
    <row r="29" spans="1:18" x14ac:dyDescent="0.3">
      <c r="B29" t="s">
        <v>83</v>
      </c>
      <c r="C29" s="6" t="s">
        <v>105</v>
      </c>
      <c r="D29" s="13">
        <v>55</v>
      </c>
      <c r="E29" s="13">
        <v>56.8</v>
      </c>
      <c r="F29" s="13">
        <v>24.7</v>
      </c>
      <c r="G29" s="13">
        <v>41.7</v>
      </c>
      <c r="H29" s="13">
        <v>20.6</v>
      </c>
      <c r="I29" s="13">
        <v>38</v>
      </c>
      <c r="J29" s="13">
        <f t="shared" si="7"/>
        <v>10.55</v>
      </c>
      <c r="K29" s="13">
        <f t="shared" si="8"/>
        <v>6.6499999999999986</v>
      </c>
      <c r="L29" s="13">
        <v>127</v>
      </c>
      <c r="M29" s="14">
        <f>2*42400</f>
        <v>84800</v>
      </c>
      <c r="N29" s="15">
        <v>3.34</v>
      </c>
      <c r="O29" s="16">
        <f t="shared" si="6"/>
        <v>4.0090000000000003</v>
      </c>
      <c r="P29" s="17">
        <f t="shared" si="3"/>
        <v>13.39006</v>
      </c>
      <c r="Q29" s="18">
        <f t="shared" si="4"/>
        <v>0.83312546769768014</v>
      </c>
      <c r="R29" s="16">
        <f t="shared" si="5"/>
        <v>6.3330560131918752</v>
      </c>
    </row>
    <row r="30" spans="1:18" x14ac:dyDescent="0.3">
      <c r="B30" t="s">
        <v>74</v>
      </c>
      <c r="C30" s="6" t="s">
        <v>106</v>
      </c>
      <c r="D30" s="13">
        <v>50</v>
      </c>
      <c r="E30" s="13">
        <v>50</v>
      </c>
      <c r="F30" s="13">
        <v>32</v>
      </c>
      <c r="G30" s="13">
        <v>44</v>
      </c>
      <c r="H30" s="13">
        <v>20</v>
      </c>
      <c r="I30" s="13">
        <v>36</v>
      </c>
      <c r="J30" s="13">
        <f t="shared" si="7"/>
        <v>12</v>
      </c>
      <c r="K30" s="13">
        <f t="shared" si="8"/>
        <v>3</v>
      </c>
      <c r="L30" s="13">
        <v>113</v>
      </c>
      <c r="M30" s="14">
        <f>37064*2</f>
        <v>74128</v>
      </c>
      <c r="N30" s="15">
        <v>3.28</v>
      </c>
      <c r="O30" s="16">
        <f t="shared" si="6"/>
        <v>4.32</v>
      </c>
      <c r="P30" s="17">
        <f t="shared" si="3"/>
        <v>14.169600000000001</v>
      </c>
      <c r="Q30" s="18">
        <f t="shared" si="4"/>
        <v>0.75925925925925919</v>
      </c>
      <c r="R30" s="16">
        <f t="shared" si="5"/>
        <v>5.231481481481481</v>
      </c>
    </row>
    <row r="31" spans="1:18" s="26" customFormat="1" x14ac:dyDescent="0.3">
      <c r="B31" s="26" t="s">
        <v>70</v>
      </c>
      <c r="C31" s="27" t="s">
        <v>107</v>
      </c>
      <c r="D31" s="28">
        <v>55.15</v>
      </c>
      <c r="E31" s="28">
        <f>27.5*2</f>
        <v>55</v>
      </c>
      <c r="F31" s="28">
        <v>21</v>
      </c>
      <c r="G31" s="28">
        <v>38.1</v>
      </c>
      <c r="H31" s="28">
        <v>16.95</v>
      </c>
      <c r="I31" s="28">
        <f>18.8*2</f>
        <v>37.6</v>
      </c>
      <c r="J31" s="28">
        <f t="shared" si="7"/>
        <v>10.575000000000001</v>
      </c>
      <c r="K31" s="28">
        <f t="shared" si="8"/>
        <v>8.5249999999999986</v>
      </c>
      <c r="L31" s="28">
        <v>123.4</v>
      </c>
      <c r="M31" s="29">
        <f>2*44320</f>
        <v>88640</v>
      </c>
      <c r="N31" s="30">
        <v>3.593</v>
      </c>
      <c r="O31" s="31">
        <f t="shared" si="6"/>
        <v>3.9762000000000004</v>
      </c>
      <c r="P31" s="32">
        <f t="shared" si="3"/>
        <v>14.286486600000002</v>
      </c>
      <c r="Q31" s="33">
        <f t="shared" si="4"/>
        <v>0.90362657813993252</v>
      </c>
      <c r="R31" s="31">
        <f t="shared" si="5"/>
        <v>6.2044645742361872</v>
      </c>
    </row>
    <row r="32" spans="1:18" x14ac:dyDescent="0.3">
      <c r="B32" t="s">
        <v>108</v>
      </c>
      <c r="C32" s="6" t="s">
        <v>109</v>
      </c>
      <c r="D32" s="13">
        <v>55.15</v>
      </c>
      <c r="E32" s="13">
        <f>27.5*2</f>
        <v>55</v>
      </c>
      <c r="F32" s="13">
        <v>24.7</v>
      </c>
      <c r="G32" s="13">
        <v>38.1</v>
      </c>
      <c r="H32" s="13">
        <v>16.95</v>
      </c>
      <c r="I32" s="13">
        <f>18.8*2</f>
        <v>37.6</v>
      </c>
      <c r="J32" s="13">
        <f t="shared" si="7"/>
        <v>10.575000000000001</v>
      </c>
      <c r="K32" s="13">
        <f t="shared" si="8"/>
        <v>8.5249999999999986</v>
      </c>
      <c r="L32" s="13">
        <v>123.4</v>
      </c>
      <c r="M32" s="14">
        <f>2*52130</f>
        <v>104260</v>
      </c>
      <c r="N32" s="15">
        <v>4.226</v>
      </c>
      <c r="O32" s="16">
        <f t="shared" si="6"/>
        <v>3.9762000000000004</v>
      </c>
      <c r="P32" s="17">
        <f t="shared" si="3"/>
        <v>16.803421200000003</v>
      </c>
      <c r="Q32" s="18">
        <f t="shared" si="4"/>
        <v>1.0628238016196367</v>
      </c>
      <c r="R32" s="16">
        <f t="shared" si="5"/>
        <v>6.2046888403892408</v>
      </c>
    </row>
    <row r="33" spans="2:18" x14ac:dyDescent="0.3">
      <c r="B33" t="s">
        <v>103</v>
      </c>
      <c r="C33" s="6" t="s">
        <v>110</v>
      </c>
      <c r="D33" s="13">
        <v>63.8</v>
      </c>
      <c r="E33" s="13">
        <v>25.4</v>
      </c>
      <c r="F33" s="13">
        <v>50.3</v>
      </c>
      <c r="G33" s="13">
        <v>53.6</v>
      </c>
      <c r="H33" s="13">
        <f>5.1*2</f>
        <v>10.199999999999999</v>
      </c>
      <c r="I33" s="13">
        <v>15.2</v>
      </c>
      <c r="J33" s="13">
        <f t="shared" si="7"/>
        <v>21.700000000000003</v>
      </c>
      <c r="K33" s="13">
        <f t="shared" si="8"/>
        <v>5.0999999999999979</v>
      </c>
      <c r="L33" s="13">
        <v>113</v>
      </c>
      <c r="M33" s="14">
        <f>2*41500</f>
        <v>83000</v>
      </c>
      <c r="N33" s="15">
        <v>5.19</v>
      </c>
      <c r="O33" s="16">
        <f t="shared" si="6"/>
        <v>3.2984000000000004</v>
      </c>
      <c r="P33" s="17">
        <f t="shared" si="3"/>
        <v>17.118696000000003</v>
      </c>
      <c r="Q33" s="18">
        <f t="shared" si="4"/>
        <v>1.5734901770555421</v>
      </c>
      <c r="R33" s="16">
        <f t="shared" si="5"/>
        <v>4.8485001427678824</v>
      </c>
    </row>
    <row r="34" spans="2:18" s="34" customFormat="1" x14ac:dyDescent="0.3">
      <c r="B34" s="34" t="s">
        <v>83</v>
      </c>
      <c r="C34" s="35" t="s">
        <v>111</v>
      </c>
      <c r="D34" s="36">
        <v>59.8</v>
      </c>
      <c r="E34" s="36">
        <v>62</v>
      </c>
      <c r="F34" s="36">
        <v>21.65</v>
      </c>
      <c r="G34" s="36">
        <v>44.7</v>
      </c>
      <c r="H34" s="36">
        <v>21.65</v>
      </c>
      <c r="I34" s="36">
        <v>45</v>
      </c>
      <c r="J34" s="36">
        <f t="shared" si="7"/>
        <v>11.525000000000002</v>
      </c>
      <c r="K34" s="36">
        <f t="shared" si="8"/>
        <v>7.5499999999999972</v>
      </c>
      <c r="L34" s="36">
        <v>141</v>
      </c>
      <c r="M34" s="37">
        <f>51630*2</f>
        <v>103260</v>
      </c>
      <c r="N34" s="38">
        <v>3.67</v>
      </c>
      <c r="O34" s="38">
        <f t="shared" si="6"/>
        <v>5.1862500000000011</v>
      </c>
      <c r="P34" s="39">
        <f t="shared" si="3"/>
        <v>19.033537500000005</v>
      </c>
      <c r="Q34" s="40">
        <f t="shared" si="4"/>
        <v>0.70764039527596989</v>
      </c>
      <c r="R34" s="38">
        <f t="shared" si="5"/>
        <v>5.4251607195982343</v>
      </c>
    </row>
    <row r="35" spans="2:18" x14ac:dyDescent="0.3">
      <c r="B35" t="s">
        <v>103</v>
      </c>
      <c r="C35" s="6" t="s">
        <v>112</v>
      </c>
      <c r="D35" s="13">
        <v>63.8</v>
      </c>
      <c r="E35" s="13">
        <v>30.4</v>
      </c>
      <c r="F35" s="13">
        <v>50.3</v>
      </c>
      <c r="G35" s="13">
        <v>53.6</v>
      </c>
      <c r="H35" s="13">
        <f>5.1*2</f>
        <v>10.199999999999999</v>
      </c>
      <c r="I35" s="13">
        <v>20.2</v>
      </c>
      <c r="J35" s="13">
        <f t="shared" si="7"/>
        <v>21.700000000000003</v>
      </c>
      <c r="K35" s="13">
        <f t="shared" si="8"/>
        <v>5.0999999999999979</v>
      </c>
      <c r="L35" s="13">
        <v>113</v>
      </c>
      <c r="M35" s="14">
        <f>2*41500</f>
        <v>83000</v>
      </c>
      <c r="N35" s="15">
        <v>5.19</v>
      </c>
      <c r="O35" s="16">
        <f t="shared" si="6"/>
        <v>4.3834</v>
      </c>
      <c r="P35" s="17">
        <f t="shared" si="3"/>
        <v>22.749846000000002</v>
      </c>
      <c r="Q35" s="18">
        <f t="shared" si="4"/>
        <v>1.1840124104576357</v>
      </c>
      <c r="R35" s="16">
        <f t="shared" si="5"/>
        <v>3.6483763450530606</v>
      </c>
    </row>
    <row r="36" spans="2:18" s="19" customFormat="1" x14ac:dyDescent="0.3">
      <c r="B36" s="19" t="s">
        <v>108</v>
      </c>
      <c r="C36" s="20" t="s">
        <v>113</v>
      </c>
      <c r="D36" s="21">
        <v>65.150000000000006</v>
      </c>
      <c r="E36" s="21">
        <v>65</v>
      </c>
      <c r="F36" s="21">
        <v>27</v>
      </c>
      <c r="G36" s="21">
        <v>45.1</v>
      </c>
      <c r="H36" s="21">
        <v>19.649999999999999</v>
      </c>
      <c r="I36" s="21">
        <v>45.2</v>
      </c>
      <c r="J36" s="21">
        <f t="shared" si="7"/>
        <v>12.725000000000001</v>
      </c>
      <c r="K36" s="21">
        <f t="shared" si="8"/>
        <v>10.025000000000002</v>
      </c>
      <c r="L36" s="21">
        <v>147</v>
      </c>
      <c r="M36" s="22">
        <f>2*78710</f>
        <v>157420</v>
      </c>
      <c r="N36" s="23">
        <v>5.35</v>
      </c>
      <c r="O36" s="23">
        <f t="shared" si="6"/>
        <v>5.7517000000000005</v>
      </c>
      <c r="P36" s="25">
        <f t="shared" si="3"/>
        <v>30.771595000000001</v>
      </c>
      <c r="Q36" s="24">
        <f t="shared" si="4"/>
        <v>0.93015977884799261</v>
      </c>
      <c r="R36" s="23">
        <f t="shared" si="5"/>
        <v>5.1157569180278104</v>
      </c>
    </row>
    <row r="37" spans="2:18" x14ac:dyDescent="0.3">
      <c r="B37" t="s">
        <v>114</v>
      </c>
      <c r="C37" s="6" t="s">
        <v>115</v>
      </c>
      <c r="D37" s="13">
        <v>64</v>
      </c>
      <c r="E37" s="13">
        <f>81</f>
        <v>81</v>
      </c>
      <c r="F37" s="13">
        <v>20</v>
      </c>
      <c r="G37" s="13">
        <v>23.2</v>
      </c>
      <c r="H37" s="13">
        <f>F37</f>
        <v>20</v>
      </c>
      <c r="I37" s="13">
        <f>26.5*2</f>
        <v>53</v>
      </c>
      <c r="J37" s="13">
        <v>23.2</v>
      </c>
      <c r="K37" s="13">
        <f>H37</f>
        <v>20</v>
      </c>
      <c r="L37" s="13">
        <v>210</v>
      </c>
      <c r="M37" s="14">
        <f>2*61000</f>
        <v>122000</v>
      </c>
      <c r="N37" s="15">
        <v>2.9</v>
      </c>
      <c r="O37" s="16">
        <f t="shared" si="6"/>
        <v>12.295999999999999</v>
      </c>
      <c r="P37" s="17">
        <f t="shared" si="3"/>
        <v>35.6584</v>
      </c>
      <c r="Q37" s="18">
        <f t="shared" si="4"/>
        <v>0.23584905660377359</v>
      </c>
      <c r="R37" s="16">
        <f t="shared" si="5"/>
        <v>3.4213537343234695</v>
      </c>
    </row>
    <row r="38" spans="2:18" x14ac:dyDescent="0.3">
      <c r="B38" t="s">
        <v>70</v>
      </c>
      <c r="C38" s="6" t="s">
        <v>116</v>
      </c>
      <c r="D38" s="13">
        <v>70.5</v>
      </c>
      <c r="E38" s="13">
        <v>66.400000000000006</v>
      </c>
      <c r="F38" s="13">
        <v>32</v>
      </c>
      <c r="G38" s="13">
        <v>48</v>
      </c>
      <c r="H38" s="13">
        <v>22</v>
      </c>
      <c r="I38" s="13">
        <v>43.8</v>
      </c>
      <c r="J38" s="13">
        <f>(G38-H38)/2</f>
        <v>13</v>
      </c>
      <c r="K38" s="13">
        <f>(D38-G38)/2</f>
        <v>11.25</v>
      </c>
      <c r="L38" s="13">
        <v>148.80000000000001</v>
      </c>
      <c r="M38" s="14">
        <f>2*106410</f>
        <v>212820</v>
      </c>
      <c r="N38" s="15">
        <v>7.03</v>
      </c>
      <c r="O38" s="16">
        <f t="shared" si="6"/>
        <v>5.694</v>
      </c>
      <c r="P38" s="17">
        <f t="shared" si="3"/>
        <v>40.028820000000003</v>
      </c>
      <c r="Q38" s="18">
        <f t="shared" si="4"/>
        <v>1.2346329469617141</v>
      </c>
      <c r="R38" s="16">
        <f t="shared" si="5"/>
        <v>5.3166693397407165</v>
      </c>
    </row>
    <row r="39" spans="2:18" s="41" customFormat="1" x14ac:dyDescent="0.3">
      <c r="B39" s="41" t="s">
        <v>117</v>
      </c>
      <c r="C39" s="42" t="s">
        <v>118</v>
      </c>
      <c r="D39" s="43">
        <v>70</v>
      </c>
      <c r="E39" s="43">
        <v>91</v>
      </c>
      <c r="F39" s="43">
        <v>19.5</v>
      </c>
      <c r="G39" s="43">
        <v>50</v>
      </c>
      <c r="H39" s="43">
        <v>19.5</v>
      </c>
      <c r="I39" s="43">
        <v>71</v>
      </c>
      <c r="J39" s="43">
        <f>(G39-H39)/2</f>
        <v>15.25</v>
      </c>
      <c r="K39" s="43">
        <f>(D39-G39)/2</f>
        <v>10</v>
      </c>
      <c r="L39" s="43">
        <v>203.7</v>
      </c>
      <c r="M39" s="44">
        <f>2*78650</f>
        <v>157300</v>
      </c>
      <c r="N39" s="15">
        <v>3.86</v>
      </c>
      <c r="O39" s="45">
        <f t="shared" si="6"/>
        <v>10.827500000000001</v>
      </c>
      <c r="P39" s="17">
        <f t="shared" si="3"/>
        <v>41.794150000000002</v>
      </c>
      <c r="Q39" s="46">
        <f t="shared" si="4"/>
        <v>0.35649965365966285</v>
      </c>
      <c r="R39" s="45">
        <f t="shared" si="5"/>
        <v>3.7636846305045086</v>
      </c>
    </row>
    <row r="40" spans="2:18" x14ac:dyDescent="0.3">
      <c r="B40" t="s">
        <v>119</v>
      </c>
      <c r="C40" s="6" t="s">
        <v>120</v>
      </c>
      <c r="D40" s="13">
        <v>79.3</v>
      </c>
      <c r="E40" s="13">
        <f>37.5*2</f>
        <v>75</v>
      </c>
      <c r="F40" s="13">
        <v>19.8</v>
      </c>
      <c r="G40" s="13">
        <v>61</v>
      </c>
      <c r="H40" s="13">
        <v>19.75</v>
      </c>
      <c r="I40" s="13">
        <f>28.3*2</f>
        <v>56.6</v>
      </c>
      <c r="J40" s="13">
        <f>(G40-H40)/2</f>
        <v>20.625</v>
      </c>
      <c r="K40" s="13">
        <f>(D40-G40)/2</f>
        <v>9.1499999999999986</v>
      </c>
      <c r="L40" s="13">
        <v>183.6</v>
      </c>
      <c r="M40" s="14">
        <f>2*68330</f>
        <v>136660</v>
      </c>
      <c r="N40" s="15">
        <v>3.7210000000000001</v>
      </c>
      <c r="O40" s="16">
        <f t="shared" si="6"/>
        <v>11.67375</v>
      </c>
      <c r="P40" s="17">
        <f t="shared" si="3"/>
        <v>43.438023749999999</v>
      </c>
      <c r="Q40" s="18">
        <f t="shared" si="4"/>
        <v>0.31874933076346507</v>
      </c>
      <c r="R40" s="16">
        <f t="shared" si="5"/>
        <v>3.1460915622341128</v>
      </c>
    </row>
    <row r="41" spans="2:18" x14ac:dyDescent="0.3">
      <c r="B41" t="s">
        <v>121</v>
      </c>
      <c r="C41" s="6" t="s">
        <v>122</v>
      </c>
      <c r="D41" s="13">
        <v>55.2</v>
      </c>
      <c r="E41" s="13">
        <f>2*37.5</f>
        <v>75</v>
      </c>
      <c r="F41" s="13">
        <v>35</v>
      </c>
      <c r="G41" s="13">
        <v>20</v>
      </c>
      <c r="H41" s="13">
        <v>12</v>
      </c>
      <c r="I41" s="13">
        <f>2*25.5</f>
        <v>51</v>
      </c>
      <c r="J41" s="13">
        <f>G41</f>
        <v>20</v>
      </c>
      <c r="K41" s="13">
        <f>H41</f>
        <v>12</v>
      </c>
      <c r="L41" s="13">
        <f>353*2</f>
        <v>706</v>
      </c>
      <c r="M41" s="14">
        <v>81600</v>
      </c>
      <c r="N41" s="15">
        <v>4.33</v>
      </c>
      <c r="O41" s="16">
        <f t="shared" si="6"/>
        <v>10.199999999999999</v>
      </c>
      <c r="P41" s="17">
        <f t="shared" si="3"/>
        <v>44.165999999999997</v>
      </c>
      <c r="Q41" s="18">
        <f t="shared" si="4"/>
        <v>0.42450980392156867</v>
      </c>
      <c r="R41" s="16">
        <f t="shared" si="5"/>
        <v>1.8475750577367205</v>
      </c>
    </row>
    <row r="42" spans="2:18" s="19" customFormat="1" ht="18" customHeight="1" x14ac:dyDescent="0.3">
      <c r="B42" s="19" t="s">
        <v>123</v>
      </c>
      <c r="C42" s="20" t="s">
        <v>124</v>
      </c>
      <c r="D42" s="21">
        <v>55.2</v>
      </c>
      <c r="E42" s="21">
        <f>2*37.5</f>
        <v>75</v>
      </c>
      <c r="F42" s="21">
        <v>35</v>
      </c>
      <c r="G42" s="21">
        <v>20</v>
      </c>
      <c r="H42" s="21">
        <v>12</v>
      </c>
      <c r="I42" s="21">
        <f>2*25.5</f>
        <v>51</v>
      </c>
      <c r="J42" s="21">
        <f>G42</f>
        <v>20</v>
      </c>
      <c r="K42" s="21">
        <f>H42</f>
        <v>12</v>
      </c>
      <c r="L42" s="21">
        <f>353*2</f>
        <v>706</v>
      </c>
      <c r="M42" s="22">
        <v>81600</v>
      </c>
      <c r="N42" s="23">
        <v>4.33</v>
      </c>
      <c r="O42" s="23">
        <f t="shared" si="6"/>
        <v>10.199999999999999</v>
      </c>
      <c r="P42" s="25">
        <f t="shared" si="3"/>
        <v>44.165999999999997</v>
      </c>
      <c r="Q42" s="24">
        <f t="shared" si="4"/>
        <v>0.42450980392156867</v>
      </c>
      <c r="R42" s="23">
        <f t="shared" si="5"/>
        <v>1.8475750577367205</v>
      </c>
    </row>
    <row r="43" spans="2:18" s="19" customFormat="1" x14ac:dyDescent="0.3">
      <c r="B43" s="19" t="s">
        <v>125</v>
      </c>
      <c r="C43" s="20" t="s">
        <v>126</v>
      </c>
      <c r="D43" s="21"/>
      <c r="E43" s="21"/>
      <c r="F43" s="21"/>
      <c r="G43" s="21"/>
      <c r="H43" s="21"/>
      <c r="I43" s="21"/>
      <c r="J43" s="21"/>
      <c r="K43" s="21"/>
      <c r="L43" s="21"/>
      <c r="M43" s="22"/>
      <c r="N43" s="23">
        <v>3.0409999999999999</v>
      </c>
      <c r="O43" s="23">
        <f>24*53/100</f>
        <v>12.72</v>
      </c>
      <c r="P43" s="25">
        <f t="shared" si="3"/>
        <v>38.681519999999999</v>
      </c>
      <c r="Q43" s="24">
        <f t="shared" si="4"/>
        <v>0.23907232704402515</v>
      </c>
      <c r="R43" s="23"/>
    </row>
    <row r="44" spans="2:18" s="19" customFormat="1" x14ac:dyDescent="0.3">
      <c r="B44" s="19" t="s">
        <v>125</v>
      </c>
      <c r="C44" s="20" t="s">
        <v>127</v>
      </c>
      <c r="D44" s="21"/>
      <c r="E44" s="21"/>
      <c r="F44" s="21"/>
      <c r="G44" s="21"/>
      <c r="H44" s="21"/>
      <c r="I44" s="21"/>
      <c r="J44" s="21"/>
      <c r="K44" s="21"/>
      <c r="L44" s="21"/>
      <c r="M44" s="22"/>
      <c r="N44" s="23">
        <v>3.629</v>
      </c>
      <c r="O44" s="23">
        <v>15.96</v>
      </c>
      <c r="P44" s="25">
        <f t="shared" si="3"/>
        <v>57.918840000000003</v>
      </c>
      <c r="Q44" s="24">
        <f t="shared" si="4"/>
        <v>0.22738095238095238</v>
      </c>
      <c r="R44" s="23"/>
    </row>
    <row r="45" spans="2:18" x14ac:dyDescent="0.3">
      <c r="B45" t="s">
        <v>83</v>
      </c>
      <c r="C45" s="6" t="s">
        <v>128</v>
      </c>
      <c r="D45" s="13">
        <v>82.1</v>
      </c>
      <c r="E45" s="13">
        <v>80</v>
      </c>
      <c r="F45" s="13">
        <v>20</v>
      </c>
      <c r="G45" s="13">
        <v>64</v>
      </c>
      <c r="H45" s="13">
        <v>20</v>
      </c>
      <c r="I45" s="13">
        <f>28.5*2</f>
        <v>57</v>
      </c>
      <c r="J45" s="13">
        <f t="shared" ref="J45:J51" si="9">(G45-H45)/2</f>
        <v>22</v>
      </c>
      <c r="K45" s="13">
        <f>(D45-G45)/2</f>
        <v>9.0499999999999972</v>
      </c>
      <c r="L45" s="13">
        <v>187</v>
      </c>
      <c r="M45" s="14">
        <v>68900</v>
      </c>
      <c r="N45" s="15">
        <v>3.69</v>
      </c>
      <c r="O45" s="16">
        <f t="shared" si="6"/>
        <v>12.54</v>
      </c>
      <c r="P45" s="17">
        <f t="shared" si="3"/>
        <v>46.272599999999997</v>
      </c>
      <c r="Q45" s="18">
        <f t="shared" si="4"/>
        <v>0.29425837320574166</v>
      </c>
      <c r="R45" s="16">
        <f t="shared" si="5"/>
        <v>1.4890021308506549</v>
      </c>
    </row>
    <row r="46" spans="2:18" x14ac:dyDescent="0.3">
      <c r="B46" t="s">
        <v>129</v>
      </c>
      <c r="C46" s="6" t="s">
        <v>130</v>
      </c>
      <c r="D46" s="13">
        <v>70.5</v>
      </c>
      <c r="E46" s="13">
        <v>66.400000000000006</v>
      </c>
      <c r="F46" s="13">
        <v>45</v>
      </c>
      <c r="G46" s="13">
        <v>48</v>
      </c>
      <c r="H46" s="13">
        <v>22</v>
      </c>
      <c r="I46" s="13">
        <v>43.8</v>
      </c>
      <c r="J46" s="13">
        <f t="shared" si="9"/>
        <v>13</v>
      </c>
      <c r="K46" s="13">
        <f>(D46-G46)/2</f>
        <v>11.25</v>
      </c>
      <c r="L46" s="13">
        <v>148.80000000000001</v>
      </c>
      <c r="M46" s="14">
        <f>2*149650</f>
        <v>299300</v>
      </c>
      <c r="N46" s="15">
        <v>10.06</v>
      </c>
      <c r="O46" s="16">
        <f t="shared" si="6"/>
        <v>5.694</v>
      </c>
      <c r="P46" s="17">
        <f t="shared" si="3"/>
        <v>57.281640000000003</v>
      </c>
      <c r="Q46" s="18">
        <f t="shared" si="4"/>
        <v>1.7667720407446437</v>
      </c>
      <c r="R46" s="16">
        <f t="shared" si="5"/>
        <v>5.2250598970280882</v>
      </c>
    </row>
    <row r="47" spans="2:18" x14ac:dyDescent="0.3">
      <c r="B47" t="s">
        <v>70</v>
      </c>
      <c r="C47" s="6" t="s">
        <v>131</v>
      </c>
      <c r="D47" s="13">
        <v>70</v>
      </c>
      <c r="E47" s="13">
        <v>91</v>
      </c>
      <c r="F47" s="13">
        <v>39</v>
      </c>
      <c r="G47" s="13">
        <v>50</v>
      </c>
      <c r="H47" s="13">
        <v>19.5</v>
      </c>
      <c r="I47" s="13">
        <v>71</v>
      </c>
      <c r="J47" s="13">
        <f t="shared" si="9"/>
        <v>15.25</v>
      </c>
      <c r="K47" s="13">
        <f>(D47-G47)/2</f>
        <v>10</v>
      </c>
      <c r="L47" s="13">
        <v>203.7</v>
      </c>
      <c r="M47" s="14">
        <f>2*157300</f>
        <v>314600</v>
      </c>
      <c r="N47" s="15">
        <v>7.72</v>
      </c>
      <c r="O47" s="16">
        <f t="shared" si="6"/>
        <v>10.827500000000001</v>
      </c>
      <c r="P47" s="17">
        <f t="shared" si="3"/>
        <v>83.588300000000004</v>
      </c>
      <c r="Q47" s="18">
        <f t="shared" si="4"/>
        <v>0.7129993073193257</v>
      </c>
      <c r="R47" s="16">
        <f t="shared" si="5"/>
        <v>3.7636846305045086</v>
      </c>
    </row>
    <row r="48" spans="2:18" x14ac:dyDescent="0.3">
      <c r="B48" t="s">
        <v>132</v>
      </c>
      <c r="C48" s="6" t="s">
        <v>133</v>
      </c>
      <c r="D48" s="13">
        <v>90</v>
      </c>
      <c r="E48" s="13">
        <v>90</v>
      </c>
      <c r="F48" s="13">
        <v>30</v>
      </c>
      <c r="G48" s="13">
        <v>68.5</v>
      </c>
      <c r="H48" s="13">
        <v>30</v>
      </c>
      <c r="I48" s="13">
        <v>71</v>
      </c>
      <c r="J48" s="13">
        <f t="shared" si="9"/>
        <v>19.25</v>
      </c>
      <c r="K48" s="13">
        <v>10</v>
      </c>
      <c r="L48" s="13">
        <v>223</v>
      </c>
      <c r="M48" s="14">
        <v>139560</v>
      </c>
      <c r="N48" s="15">
        <v>6.26</v>
      </c>
      <c r="O48" s="16">
        <f t="shared" si="6"/>
        <v>13.6675</v>
      </c>
      <c r="P48" s="17">
        <f t="shared" si="3"/>
        <v>85.558549999999997</v>
      </c>
      <c r="Q48" s="18">
        <f t="shared" si="4"/>
        <v>0.45802085238704954</v>
      </c>
      <c r="R48" s="16">
        <f t="shared" si="5"/>
        <v>1.631163688491682</v>
      </c>
    </row>
    <row r="49" spans="2:18" s="47" customFormat="1" x14ac:dyDescent="0.3">
      <c r="B49" s="47" t="s">
        <v>134</v>
      </c>
      <c r="C49" s="48" t="s">
        <v>135</v>
      </c>
      <c r="D49" s="49">
        <v>70</v>
      </c>
      <c r="E49" s="49">
        <v>45</v>
      </c>
      <c r="F49" s="49">
        <v>19.5</v>
      </c>
      <c r="G49" s="49">
        <v>50</v>
      </c>
      <c r="H49" s="49">
        <v>19.5</v>
      </c>
      <c r="I49" s="49">
        <v>35.1</v>
      </c>
      <c r="J49" s="49">
        <f>(G49-H49)/2</f>
        <v>15.25</v>
      </c>
      <c r="K49" s="49">
        <f>(D49-G49)/2</f>
        <v>10</v>
      </c>
      <c r="L49" s="49">
        <v>133</v>
      </c>
      <c r="M49" s="50">
        <v>52100</v>
      </c>
      <c r="N49" s="51">
        <v>3.92</v>
      </c>
      <c r="O49" s="51">
        <v>5.44</v>
      </c>
      <c r="P49" s="52">
        <v>21</v>
      </c>
      <c r="Q49" s="53">
        <f t="shared" si="4"/>
        <v>0.72058823529411753</v>
      </c>
      <c r="R49" s="51">
        <f t="shared" si="5"/>
        <v>2.480952380952381</v>
      </c>
    </row>
    <row r="50" spans="2:18" x14ac:dyDescent="0.3">
      <c r="B50" t="s">
        <v>136</v>
      </c>
      <c r="C50" s="6" t="s">
        <v>137</v>
      </c>
      <c r="D50" s="13">
        <v>118</v>
      </c>
      <c r="E50" s="13">
        <v>104</v>
      </c>
      <c r="F50" s="13">
        <v>35</v>
      </c>
      <c r="G50" s="13">
        <v>82.5</v>
      </c>
      <c r="H50" s="13">
        <v>35</v>
      </c>
      <c r="I50" s="13">
        <v>69</v>
      </c>
      <c r="J50" s="13">
        <f t="shared" si="9"/>
        <v>23.75</v>
      </c>
      <c r="K50" s="13">
        <f>(D50-G50)/2</f>
        <v>17.75</v>
      </c>
      <c r="L50" s="13">
        <v>203.7</v>
      </c>
      <c r="M50" s="14">
        <f>2*473130</f>
        <v>946260</v>
      </c>
      <c r="N50" s="15">
        <v>12.49</v>
      </c>
      <c r="O50" s="16">
        <f t="shared" si="6"/>
        <v>16.387499999999999</v>
      </c>
      <c r="P50" s="17">
        <f t="shared" si="3"/>
        <v>204.67987499999998</v>
      </c>
      <c r="Q50" s="18">
        <f t="shared" si="4"/>
        <v>0.76216628527841346</v>
      </c>
      <c r="R50" s="16">
        <f t="shared" si="5"/>
        <v>4.6231218384318442</v>
      </c>
    </row>
    <row r="51" spans="2:18" x14ac:dyDescent="0.3">
      <c r="B51" t="s">
        <v>138</v>
      </c>
      <c r="C51" t="s">
        <v>139</v>
      </c>
      <c r="D51" s="13">
        <v>128</v>
      </c>
      <c r="E51" s="13">
        <v>108</v>
      </c>
      <c r="F51" s="13">
        <v>42</v>
      </c>
      <c r="G51" s="13">
        <f>D51-42</f>
        <v>86</v>
      </c>
      <c r="H51" s="13">
        <v>42</v>
      </c>
      <c r="I51" s="13">
        <v>64</v>
      </c>
      <c r="J51" s="13">
        <f t="shared" si="9"/>
        <v>22</v>
      </c>
      <c r="K51" s="13">
        <f>(D51-G51)/2</f>
        <v>21</v>
      </c>
      <c r="N51" s="15">
        <f>F51*H51/100</f>
        <v>17.64</v>
      </c>
      <c r="O51" s="16">
        <f t="shared" si="6"/>
        <v>14.08</v>
      </c>
      <c r="P51" s="17">
        <f t="shared" si="3"/>
        <v>248.37120000000002</v>
      </c>
      <c r="Q51" s="18">
        <f t="shared" si="4"/>
        <v>1.2528409090909092</v>
      </c>
      <c r="R51" s="16">
        <f t="shared" si="5"/>
        <v>0</v>
      </c>
    </row>
    <row r="52" spans="2:18" x14ac:dyDescent="0.3">
      <c r="B52" t="s">
        <v>140</v>
      </c>
      <c r="C52" s="6" t="s">
        <v>141</v>
      </c>
      <c r="D52" s="13">
        <v>100</v>
      </c>
      <c r="E52" s="13">
        <f>2*75.45</f>
        <v>150.9</v>
      </c>
      <c r="F52" s="13">
        <v>30</v>
      </c>
      <c r="G52" s="13">
        <v>39.299999999999997</v>
      </c>
      <c r="H52" s="13">
        <f>(D52-G52)/2</f>
        <v>30.35</v>
      </c>
      <c r="I52" s="13">
        <f>2*45.1</f>
        <v>90.2</v>
      </c>
      <c r="J52" s="13">
        <f>G52</f>
        <v>39.299999999999997</v>
      </c>
      <c r="K52" s="13">
        <f>H52</f>
        <v>30.35</v>
      </c>
      <c r="L52" s="13">
        <f>353*2</f>
        <v>706</v>
      </c>
      <c r="M52" s="14">
        <f>2*315935</f>
        <v>631870</v>
      </c>
      <c r="N52" s="15">
        <v>8.9499999999999993</v>
      </c>
      <c r="O52" s="16">
        <f t="shared" si="6"/>
        <v>35.448599999999999</v>
      </c>
      <c r="P52" s="17">
        <f t="shared" si="3"/>
        <v>317.26496999999995</v>
      </c>
      <c r="Q52" s="18">
        <f t="shared" si="4"/>
        <v>0.25247823609395009</v>
      </c>
      <c r="R52" s="16">
        <f t="shared" si="5"/>
        <v>1.9916160299701544</v>
      </c>
    </row>
    <row r="53" spans="2:18" x14ac:dyDescent="0.3">
      <c r="B53" t="s">
        <v>142</v>
      </c>
      <c r="C53" s="6" t="s">
        <v>143</v>
      </c>
      <c r="D53" s="13">
        <v>120</v>
      </c>
      <c r="E53" s="13">
        <v>160</v>
      </c>
      <c r="F53" s="13">
        <v>20</v>
      </c>
      <c r="G53" s="13">
        <v>59</v>
      </c>
      <c r="H53" s="13">
        <f>(D53-G53)/2</f>
        <v>30.5</v>
      </c>
      <c r="I53" s="13">
        <f>2*50</f>
        <v>100</v>
      </c>
      <c r="J53" s="13">
        <f>G53</f>
        <v>59</v>
      </c>
      <c r="K53" s="13">
        <f>H53</f>
        <v>30.5</v>
      </c>
      <c r="L53" s="13">
        <f>353*2</f>
        <v>706</v>
      </c>
      <c r="M53" s="14">
        <f>2*315935</f>
        <v>631870</v>
      </c>
      <c r="N53" s="15">
        <f>F53*H53/100</f>
        <v>6.1</v>
      </c>
      <c r="O53" s="16">
        <f t="shared" si="6"/>
        <v>59</v>
      </c>
      <c r="P53" s="17">
        <f t="shared" si="3"/>
        <v>359.9</v>
      </c>
      <c r="Q53" s="18">
        <f t="shared" si="4"/>
        <v>0.10338983050847457</v>
      </c>
      <c r="R53" s="16">
        <f t="shared" si="5"/>
        <v>1.7556821339260906</v>
      </c>
    </row>
    <row r="54" spans="2:18" x14ac:dyDescent="0.3">
      <c r="B54" t="s">
        <v>144</v>
      </c>
      <c r="C54" s="6" t="s">
        <v>145</v>
      </c>
      <c r="D54" s="13">
        <v>118</v>
      </c>
      <c r="E54" s="13">
        <f>2*86.5</f>
        <v>173</v>
      </c>
      <c r="F54" s="13">
        <v>35.5</v>
      </c>
      <c r="G54" s="13">
        <v>82.5</v>
      </c>
      <c r="H54" s="13">
        <v>35</v>
      </c>
      <c r="I54" s="13">
        <f>69*2</f>
        <v>138</v>
      </c>
      <c r="J54" s="13">
        <f>(G54-H54)/2</f>
        <v>23.75</v>
      </c>
      <c r="K54" s="13">
        <f>(D54-G54)/2</f>
        <v>17.75</v>
      </c>
      <c r="L54" s="13">
        <v>203.7</v>
      </c>
      <c r="M54" s="14">
        <f>2*473130</f>
        <v>946260</v>
      </c>
      <c r="N54" s="15">
        <v>12.49</v>
      </c>
      <c r="O54" s="16">
        <f t="shared" si="6"/>
        <v>32.774999999999999</v>
      </c>
      <c r="P54" s="17">
        <f t="shared" si="3"/>
        <v>409.35974999999996</v>
      </c>
      <c r="Q54" s="18">
        <f t="shared" si="4"/>
        <v>0.38108314263920673</v>
      </c>
      <c r="R54" s="16">
        <f t="shared" si="5"/>
        <v>2.3115609192159221</v>
      </c>
    </row>
    <row r="55" spans="2:18" x14ac:dyDescent="0.3">
      <c r="B55" t="s">
        <v>129</v>
      </c>
      <c r="C55" s="6" t="s">
        <v>146</v>
      </c>
      <c r="D55" s="13">
        <v>140</v>
      </c>
      <c r="E55" s="13">
        <f>86.5*2</f>
        <v>173</v>
      </c>
      <c r="F55" s="13">
        <v>35</v>
      </c>
      <c r="G55" s="13">
        <v>105</v>
      </c>
      <c r="H55" s="13">
        <v>35</v>
      </c>
      <c r="I55" s="13">
        <f>69*2</f>
        <v>138</v>
      </c>
      <c r="J55" s="13">
        <f>(G55-H55)/2</f>
        <v>35</v>
      </c>
      <c r="K55" s="13">
        <f>(D55-G55)/2</f>
        <v>17.5</v>
      </c>
      <c r="L55" s="13">
        <f>2*401</f>
        <v>802</v>
      </c>
      <c r="M55" s="14">
        <f>2*491200</f>
        <v>982400</v>
      </c>
      <c r="N55" s="15">
        <v>12.25</v>
      </c>
      <c r="O55" s="16">
        <f t="shared" si="6"/>
        <v>48.3</v>
      </c>
      <c r="P55" s="17">
        <f t="shared" si="3"/>
        <v>591.67499999999995</v>
      </c>
      <c r="Q55" s="18">
        <f t="shared" si="4"/>
        <v>0.25362318840579712</v>
      </c>
      <c r="R55" s="16">
        <f t="shared" si="5"/>
        <v>1.660370980690413</v>
      </c>
    </row>
    <row r="56" spans="2:18" x14ac:dyDescent="0.3">
      <c r="B56" t="s">
        <v>99</v>
      </c>
      <c r="C56" s="6" t="s">
        <v>147</v>
      </c>
      <c r="D56" s="13">
        <v>120</v>
      </c>
      <c r="E56" s="13">
        <v>160</v>
      </c>
      <c r="F56" s="13">
        <v>40</v>
      </c>
      <c r="G56" s="13">
        <v>59</v>
      </c>
      <c r="H56" s="13">
        <f>(D56-G56)/2</f>
        <v>30.5</v>
      </c>
      <c r="I56" s="13">
        <f>2*50</f>
        <v>100</v>
      </c>
      <c r="J56" s="13">
        <f>G56</f>
        <v>59</v>
      </c>
      <c r="K56" s="13">
        <f>H56</f>
        <v>30.5</v>
      </c>
      <c r="L56" s="13">
        <f>353*2</f>
        <v>706</v>
      </c>
      <c r="M56" s="14">
        <f>2*315935</f>
        <v>631870</v>
      </c>
      <c r="N56" s="15">
        <f>F56*H56/100</f>
        <v>12.2</v>
      </c>
      <c r="O56" s="16">
        <f t="shared" si="6"/>
        <v>59</v>
      </c>
      <c r="P56" s="17">
        <f t="shared" si="3"/>
        <v>719.8</v>
      </c>
      <c r="Q56" s="18">
        <f t="shared" si="4"/>
        <v>0.20677966101694914</v>
      </c>
      <c r="R56" s="16">
        <f t="shared" si="5"/>
        <v>0.87784106696304531</v>
      </c>
    </row>
    <row r="58" spans="2:18" s="5" customFormat="1" x14ac:dyDescent="0.3">
      <c r="B58" s="5" t="s">
        <v>148</v>
      </c>
      <c r="C58" s="6" t="s">
        <v>149</v>
      </c>
      <c r="D58" s="7" t="s">
        <v>150</v>
      </c>
      <c r="E58" s="7" t="s">
        <v>151</v>
      </c>
      <c r="F58" s="7" t="s">
        <v>152</v>
      </c>
      <c r="G58" s="7" t="s">
        <v>56</v>
      </c>
      <c r="H58" s="7" t="s">
        <v>57</v>
      </c>
      <c r="I58" s="7" t="s">
        <v>153</v>
      </c>
      <c r="J58" s="7" t="s">
        <v>154</v>
      </c>
      <c r="K58" s="7" t="s">
        <v>155</v>
      </c>
      <c r="L58" s="7" t="s">
        <v>156</v>
      </c>
      <c r="M58" s="8" t="s">
        <v>157</v>
      </c>
      <c r="N58" s="9" t="s">
        <v>63</v>
      </c>
      <c r="O58" s="10" t="s">
        <v>158</v>
      </c>
      <c r="P58" s="11" t="s">
        <v>159</v>
      </c>
      <c r="Q58" s="12" t="s">
        <v>160</v>
      </c>
      <c r="R58" s="10" t="s">
        <v>161</v>
      </c>
    </row>
  </sheetData>
  <phoneticPr fontId="1" type="noConversion"/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N14"/>
  <sheetViews>
    <sheetView workbookViewId="0">
      <selection activeCell="D19" sqref="D19:D20"/>
    </sheetView>
  </sheetViews>
  <sheetFormatPr defaultRowHeight="16.5" x14ac:dyDescent="0.3"/>
  <sheetData>
    <row r="3" spans="2:14" x14ac:dyDescent="0.3">
      <c r="B3" s="54"/>
      <c r="C3" s="54" t="s">
        <v>162</v>
      </c>
      <c r="D3" s="54" t="s">
        <v>163</v>
      </c>
      <c r="E3" s="54" t="s">
        <v>164</v>
      </c>
      <c r="F3" s="54" t="s">
        <v>165</v>
      </c>
      <c r="G3" s="54" t="s">
        <v>166</v>
      </c>
      <c r="H3" s="54" t="s">
        <v>167</v>
      </c>
      <c r="I3" s="54" t="s">
        <v>168</v>
      </c>
      <c r="J3" s="54" t="s">
        <v>169</v>
      </c>
      <c r="K3" s="55" t="s">
        <v>170</v>
      </c>
      <c r="L3" s="56" t="s">
        <v>171</v>
      </c>
      <c r="M3" s="54" t="s">
        <v>172</v>
      </c>
      <c r="N3" s="57" t="s">
        <v>173</v>
      </c>
    </row>
    <row r="4" spans="2:14" x14ac:dyDescent="0.3">
      <c r="B4" t="s">
        <v>174</v>
      </c>
      <c r="C4">
        <v>19</v>
      </c>
      <c r="D4">
        <v>25</v>
      </c>
      <c r="E4">
        <v>83</v>
      </c>
      <c r="F4">
        <v>35</v>
      </c>
      <c r="G4">
        <v>63</v>
      </c>
      <c r="H4">
        <v>121</v>
      </c>
      <c r="I4">
        <v>3</v>
      </c>
      <c r="J4">
        <v>27.1</v>
      </c>
      <c r="K4" s="18">
        <v>6.38</v>
      </c>
      <c r="L4" s="13">
        <f t="shared" ref="L4:L12" si="0">D4*E4/100</f>
        <v>20.75</v>
      </c>
      <c r="M4" s="14">
        <f t="shared" ref="M4:M12" si="1">K4*L4</f>
        <v>132.38499999999999</v>
      </c>
      <c r="N4" s="16">
        <f t="shared" ref="N4:N12" si="2">K4/(C4*F4/100)</f>
        <v>0.95939849624060147</v>
      </c>
    </row>
    <row r="5" spans="2:14" x14ac:dyDescent="0.3">
      <c r="B5" t="s">
        <v>175</v>
      </c>
      <c r="C5">
        <v>19</v>
      </c>
      <c r="D5">
        <v>25</v>
      </c>
      <c r="E5">
        <v>83</v>
      </c>
      <c r="F5">
        <v>40</v>
      </c>
      <c r="G5">
        <v>63</v>
      </c>
      <c r="H5">
        <v>121</v>
      </c>
      <c r="I5">
        <v>3</v>
      </c>
      <c r="J5">
        <v>27.1</v>
      </c>
      <c r="K5" s="18">
        <v>7.3</v>
      </c>
      <c r="L5" s="13">
        <f t="shared" si="0"/>
        <v>20.75</v>
      </c>
      <c r="M5" s="14">
        <f t="shared" si="1"/>
        <v>151.47499999999999</v>
      </c>
      <c r="N5" s="16">
        <f t="shared" si="2"/>
        <v>0.96052631578947367</v>
      </c>
    </row>
    <row r="6" spans="2:14" x14ac:dyDescent="0.3">
      <c r="B6" t="s">
        <v>176</v>
      </c>
      <c r="C6">
        <v>19</v>
      </c>
      <c r="D6">
        <v>25</v>
      </c>
      <c r="E6">
        <v>83</v>
      </c>
      <c r="F6">
        <v>50</v>
      </c>
      <c r="G6">
        <v>63</v>
      </c>
      <c r="H6">
        <v>121</v>
      </c>
      <c r="I6">
        <v>3</v>
      </c>
      <c r="J6">
        <v>27.1</v>
      </c>
      <c r="K6" s="18">
        <v>9.1199999999999992</v>
      </c>
      <c r="L6" s="13">
        <f t="shared" si="0"/>
        <v>20.75</v>
      </c>
      <c r="M6" s="14">
        <f t="shared" si="1"/>
        <v>189.23999999999998</v>
      </c>
      <c r="N6" s="16">
        <f t="shared" si="2"/>
        <v>0.96</v>
      </c>
    </row>
    <row r="7" spans="2:14" x14ac:dyDescent="0.3">
      <c r="B7" t="s">
        <v>177</v>
      </c>
      <c r="C7">
        <v>19</v>
      </c>
      <c r="D7">
        <v>25</v>
      </c>
      <c r="E7">
        <v>90</v>
      </c>
      <c r="F7">
        <v>60</v>
      </c>
      <c r="G7">
        <v>63</v>
      </c>
      <c r="H7">
        <v>128</v>
      </c>
      <c r="I7">
        <v>3</v>
      </c>
      <c r="J7">
        <v>28.5</v>
      </c>
      <c r="K7" s="18">
        <v>10</v>
      </c>
      <c r="L7" s="13">
        <f t="shared" si="0"/>
        <v>22.5</v>
      </c>
      <c r="M7" s="14">
        <f t="shared" si="1"/>
        <v>225</v>
      </c>
      <c r="N7" s="16">
        <f t="shared" si="2"/>
        <v>0.8771929824561403</v>
      </c>
    </row>
    <row r="8" spans="2:14" x14ac:dyDescent="0.3">
      <c r="B8" t="s">
        <v>178</v>
      </c>
      <c r="C8">
        <v>22</v>
      </c>
      <c r="D8">
        <v>35</v>
      </c>
      <c r="E8">
        <v>85</v>
      </c>
      <c r="F8">
        <v>50</v>
      </c>
      <c r="G8">
        <v>79</v>
      </c>
      <c r="H8">
        <v>129</v>
      </c>
      <c r="I8">
        <v>3</v>
      </c>
      <c r="J8">
        <v>30.4</v>
      </c>
      <c r="K8" s="18">
        <v>10.6</v>
      </c>
      <c r="L8" s="13">
        <f t="shared" si="0"/>
        <v>29.75</v>
      </c>
      <c r="M8" s="14">
        <f t="shared" si="1"/>
        <v>315.34999999999997</v>
      </c>
      <c r="N8" s="16">
        <f t="shared" si="2"/>
        <v>0.96363636363636362</v>
      </c>
    </row>
    <row r="9" spans="2:14" x14ac:dyDescent="0.3">
      <c r="B9" t="s">
        <v>179</v>
      </c>
      <c r="C9">
        <v>25</v>
      </c>
      <c r="D9">
        <v>40</v>
      </c>
      <c r="E9">
        <v>85</v>
      </c>
      <c r="F9">
        <v>55</v>
      </c>
      <c r="G9">
        <v>90</v>
      </c>
      <c r="H9">
        <v>135</v>
      </c>
      <c r="I9">
        <v>3</v>
      </c>
      <c r="J9">
        <v>32.299999999999997</v>
      </c>
      <c r="K9" s="18">
        <v>13.2</v>
      </c>
      <c r="L9" s="13">
        <f t="shared" si="0"/>
        <v>34</v>
      </c>
      <c r="M9" s="14">
        <f t="shared" si="1"/>
        <v>448.79999999999995</v>
      </c>
      <c r="N9" s="16">
        <f t="shared" si="2"/>
        <v>0.96</v>
      </c>
    </row>
    <row r="10" spans="2:14" x14ac:dyDescent="0.3">
      <c r="B10" t="s">
        <v>180</v>
      </c>
      <c r="C10">
        <v>39</v>
      </c>
      <c r="D10">
        <v>49</v>
      </c>
      <c r="E10">
        <v>106</v>
      </c>
      <c r="F10">
        <v>100</v>
      </c>
      <c r="G10">
        <v>127</v>
      </c>
      <c r="H10">
        <v>184</v>
      </c>
      <c r="I10">
        <v>3</v>
      </c>
      <c r="J10">
        <v>43.2</v>
      </c>
      <c r="K10" s="18">
        <v>37.4</v>
      </c>
      <c r="L10" s="13">
        <f t="shared" si="0"/>
        <v>51.94</v>
      </c>
      <c r="M10" s="14">
        <f t="shared" si="1"/>
        <v>1942.5559999999998</v>
      </c>
      <c r="N10" s="16">
        <f t="shared" si="2"/>
        <v>0.9589743589743589</v>
      </c>
    </row>
    <row r="11" spans="2:14" x14ac:dyDescent="0.3">
      <c r="B11" t="s">
        <v>181</v>
      </c>
      <c r="C11">
        <v>39</v>
      </c>
      <c r="D11">
        <v>72</v>
      </c>
      <c r="E11">
        <v>100</v>
      </c>
      <c r="F11">
        <v>100</v>
      </c>
      <c r="G11">
        <v>150</v>
      </c>
      <c r="H11">
        <v>178</v>
      </c>
      <c r="I11">
        <v>3</v>
      </c>
      <c r="J11">
        <v>46.6</v>
      </c>
      <c r="K11" s="18">
        <v>37.4</v>
      </c>
      <c r="L11" s="13">
        <f t="shared" si="0"/>
        <v>72</v>
      </c>
      <c r="M11" s="14">
        <f t="shared" si="1"/>
        <v>2692.7999999999997</v>
      </c>
      <c r="N11" s="16">
        <f t="shared" si="2"/>
        <v>0.9589743589743589</v>
      </c>
    </row>
    <row r="12" spans="2:14" x14ac:dyDescent="0.3">
      <c r="B12" t="s">
        <v>182</v>
      </c>
      <c r="C12">
        <v>40</v>
      </c>
      <c r="D12">
        <v>70</v>
      </c>
      <c r="E12">
        <v>130</v>
      </c>
      <c r="F12">
        <v>120</v>
      </c>
      <c r="G12">
        <v>150</v>
      </c>
      <c r="H12">
        <v>210</v>
      </c>
      <c r="I12">
        <v>3</v>
      </c>
      <c r="J12">
        <v>52.6</v>
      </c>
      <c r="K12" s="18">
        <v>46.1</v>
      </c>
      <c r="L12" s="13">
        <f t="shared" si="0"/>
        <v>91</v>
      </c>
      <c r="M12" s="14">
        <f t="shared" si="1"/>
        <v>4195.1000000000004</v>
      </c>
      <c r="N12" s="16">
        <f t="shared" si="2"/>
        <v>0.9604166666666667</v>
      </c>
    </row>
    <row r="13" spans="2:14" x14ac:dyDescent="0.3">
      <c r="B13" t="s">
        <v>183</v>
      </c>
      <c r="C13">
        <v>42</v>
      </c>
      <c r="D13">
        <v>70</v>
      </c>
      <c r="E13">
        <v>130</v>
      </c>
      <c r="F13">
        <v>150</v>
      </c>
      <c r="G13">
        <v>154</v>
      </c>
      <c r="H13">
        <v>214</v>
      </c>
      <c r="I13">
        <v>3</v>
      </c>
      <c r="J13">
        <v>53.2</v>
      </c>
      <c r="K13" s="18">
        <v>60.5</v>
      </c>
      <c r="L13" s="13">
        <f>D13*E13/100</f>
        <v>91</v>
      </c>
      <c r="M13" s="14">
        <f>K13*L13</f>
        <v>5505.5</v>
      </c>
      <c r="N13" s="16">
        <f>K13/(C13*F13/100)</f>
        <v>0.96031746031746035</v>
      </c>
    </row>
    <row r="14" spans="2:14" x14ac:dyDescent="0.3">
      <c r="B14" t="s">
        <v>184</v>
      </c>
      <c r="C14">
        <v>70</v>
      </c>
      <c r="D14">
        <v>75</v>
      </c>
      <c r="E14">
        <v>200</v>
      </c>
      <c r="F14">
        <v>180</v>
      </c>
      <c r="G14">
        <v>215</v>
      </c>
      <c r="H14">
        <v>340</v>
      </c>
      <c r="I14">
        <v>5</v>
      </c>
      <c r="J14">
        <v>77</v>
      </c>
      <c r="K14" s="18">
        <v>121</v>
      </c>
      <c r="L14" s="13">
        <f>D14*E14/100</f>
        <v>150</v>
      </c>
      <c r="M14" s="14">
        <f>K14*L14</f>
        <v>18150</v>
      </c>
      <c r="N14" s="16">
        <f>K14/(C14*F14/100)</f>
        <v>0.96031746031746035</v>
      </c>
    </row>
  </sheetData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0:H10"/>
  <sheetViews>
    <sheetView workbookViewId="0">
      <selection activeCell="I27" sqref="I27"/>
    </sheetView>
  </sheetViews>
  <sheetFormatPr defaultRowHeight="16.5" x14ac:dyDescent="0.3"/>
  <sheetData>
    <row r="10" spans="2:8" x14ac:dyDescent="0.3">
      <c r="B10" t="s">
        <v>185</v>
      </c>
      <c r="D10" t="s">
        <v>186</v>
      </c>
      <c r="F10" t="s">
        <v>187</v>
      </c>
      <c r="H10" t="s">
        <v>188</v>
      </c>
    </row>
  </sheetData>
  <phoneticPr fontId="1" type="noConversion"/>
  <pageMargins left="0.7" right="0.7" top="0.75" bottom="0.75" header="0.3" footer="0.3"/>
  <pageSetup paperSize="9" orientation="portrait" horizontalDpi="4294967293" verticalDpi="4294967293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2049" r:id="rId4">
          <objectPr defaultSize="0" autoPict="0" r:id="rId5">
            <anchor moveWithCells="1">
              <from>
                <xdr:col>5</xdr:col>
                <xdr:colOff>9525</xdr:colOff>
                <xdr:row>13</xdr:row>
                <xdr:rowOff>19050</xdr:rowOff>
              </from>
              <to>
                <xdr:col>6</xdr:col>
                <xdr:colOff>161925</xdr:colOff>
                <xdr:row>16</xdr:row>
                <xdr:rowOff>57150</xdr:rowOff>
              </to>
            </anchor>
          </objectPr>
        </oleObject>
      </mc:Choice>
      <mc:Fallback>
        <oleObject progId="Acrobat Document" dvAspect="DVASPECT_ICON" shapeId="2049" r:id="rId4"/>
      </mc:Fallback>
    </mc:AlternateContent>
    <mc:AlternateContent xmlns:mc="http://schemas.openxmlformats.org/markup-compatibility/2006">
      <mc:Choice Requires="x14">
        <oleObject progId="Acrobat Document" dvAspect="DVASPECT_ICON" shapeId="2050" r:id="rId6">
          <objectPr defaultSize="0" r:id="rId5">
            <anchor moveWithCells="1">
              <from>
                <xdr:col>3</xdr:col>
                <xdr:colOff>0</xdr:colOff>
                <xdr:row>5</xdr:row>
                <xdr:rowOff>0</xdr:rowOff>
              </from>
              <to>
                <xdr:col>4</xdr:col>
                <xdr:colOff>228600</xdr:colOff>
                <xdr:row>8</xdr:row>
                <xdr:rowOff>57150</xdr:rowOff>
              </to>
            </anchor>
          </objectPr>
        </oleObject>
      </mc:Choice>
      <mc:Fallback>
        <oleObject progId="Acrobat Document" dvAspect="DVASPECT_ICON" shapeId="2050" r:id="rId6"/>
      </mc:Fallback>
    </mc:AlternateContent>
    <mc:AlternateContent xmlns:mc="http://schemas.openxmlformats.org/markup-compatibility/2006">
      <mc:Choice Requires="x14">
        <oleObject progId="Acrobat Document" dvAspect="DVASPECT_ICON" shapeId="2051" r:id="rId7">
          <objectPr defaultSize="0" autoPict="0" r:id="rId5">
            <anchor moveWithCells="1">
              <from>
                <xdr:col>5</xdr:col>
                <xdr:colOff>0</xdr:colOff>
                <xdr:row>5</xdr:row>
                <xdr:rowOff>0</xdr:rowOff>
              </from>
              <to>
                <xdr:col>6</xdr:col>
                <xdr:colOff>152400</xdr:colOff>
                <xdr:row>8</xdr:row>
                <xdr:rowOff>38100</xdr:rowOff>
              </to>
            </anchor>
          </objectPr>
        </oleObject>
      </mc:Choice>
      <mc:Fallback>
        <oleObject progId="Acrobat Document" dvAspect="DVASPECT_ICON" shapeId="2051" r:id="rId7"/>
      </mc:Fallback>
    </mc:AlternateContent>
    <mc:AlternateContent xmlns:mc="http://schemas.openxmlformats.org/markup-compatibility/2006">
      <mc:Choice Requires="x14">
        <oleObject progId="Acrobat Document" dvAspect="DVASPECT_ICON" shapeId="2052" r:id="rId8">
          <objectPr defaultSize="0" autoPict="0" r:id="rId5">
            <anchor moveWithCells="1">
              <from>
                <xdr:col>7</xdr:col>
                <xdr:colOff>19050</xdr:colOff>
                <xdr:row>5</xdr:row>
                <xdr:rowOff>19050</xdr:rowOff>
              </from>
              <to>
                <xdr:col>8</xdr:col>
                <xdr:colOff>171450</xdr:colOff>
                <xdr:row>8</xdr:row>
                <xdr:rowOff>57150</xdr:rowOff>
              </to>
            </anchor>
          </objectPr>
        </oleObject>
      </mc:Choice>
      <mc:Fallback>
        <oleObject progId="Acrobat Document" dvAspect="DVASPECT_ICON" shapeId="2052" r:id="rId8"/>
      </mc:Fallback>
    </mc:AlternateContent>
    <mc:AlternateContent xmlns:mc="http://schemas.openxmlformats.org/markup-compatibility/2006">
      <mc:Choice Requires="x14">
        <oleObject progId="Acrobat Document" dvAspect="DVASPECT_ICON" shapeId="2053" r:id="rId9">
          <objectPr defaultSize="0" autoPict="0" r:id="rId5">
            <anchor moveWithCells="1">
              <from>
                <xdr:col>1</xdr:col>
                <xdr:colOff>28575</xdr:colOff>
                <xdr:row>5</xdr:row>
                <xdr:rowOff>9525</xdr:rowOff>
              </from>
              <to>
                <xdr:col>2</xdr:col>
                <xdr:colOff>180975</xdr:colOff>
                <xdr:row>8</xdr:row>
                <xdr:rowOff>47625</xdr:rowOff>
              </to>
            </anchor>
          </objectPr>
        </oleObject>
      </mc:Choice>
      <mc:Fallback>
        <oleObject progId="Acrobat Document" dvAspect="DVASPECT_ICON" shapeId="2053" r:id="rId9"/>
      </mc:Fallback>
    </mc:AlternateContent>
    <mc:AlternateContent xmlns:mc="http://schemas.openxmlformats.org/markup-compatibility/2006">
      <mc:Choice Requires="x14">
        <oleObject progId="Acrobat Document" dvAspect="DVASPECT_ICON" shapeId="2054" r:id="rId10">
          <objectPr defaultSize="0" autoPict="0" r:id="rId5">
            <anchor moveWithCells="1">
              <from>
                <xdr:col>1</xdr:col>
                <xdr:colOff>19050</xdr:colOff>
                <xdr:row>13</xdr:row>
                <xdr:rowOff>19050</xdr:rowOff>
              </from>
              <to>
                <xdr:col>2</xdr:col>
                <xdr:colOff>171450</xdr:colOff>
                <xdr:row>16</xdr:row>
                <xdr:rowOff>57150</xdr:rowOff>
              </to>
            </anchor>
          </objectPr>
        </oleObject>
      </mc:Choice>
      <mc:Fallback>
        <oleObject progId="Acrobat Document" dvAspect="DVASPECT_ICON" shapeId="2054" r:id="rId10"/>
      </mc:Fallback>
    </mc:AlternateContent>
    <mc:AlternateContent xmlns:mc="http://schemas.openxmlformats.org/markup-compatibility/2006">
      <mc:Choice Requires="x14">
        <oleObject progId="Acrobat Document" dvAspect="DVASPECT_ICON" shapeId="2055" r:id="rId11">
          <objectPr defaultSize="0" autoPict="0" r:id="rId5">
            <anchor moveWithCells="1">
              <from>
                <xdr:col>3</xdr:col>
                <xdr:colOff>9525</xdr:colOff>
                <xdr:row>13</xdr:row>
                <xdr:rowOff>19050</xdr:rowOff>
              </from>
              <to>
                <xdr:col>4</xdr:col>
                <xdr:colOff>161925</xdr:colOff>
                <xdr:row>16</xdr:row>
                <xdr:rowOff>57150</xdr:rowOff>
              </to>
            </anchor>
          </objectPr>
        </oleObject>
      </mc:Choice>
      <mc:Fallback>
        <oleObject progId="Acrobat Document" dvAspect="DVASPECT_ICON" shapeId="2055" r:id="rId11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50"/>
  <sheetViews>
    <sheetView workbookViewId="0">
      <selection activeCell="C4" sqref="C4"/>
    </sheetView>
  </sheetViews>
  <sheetFormatPr defaultRowHeight="13.5" x14ac:dyDescent="0.15"/>
  <cols>
    <col min="1" max="2" width="9" style="58"/>
    <col min="3" max="3" width="24" style="58" customWidth="1"/>
    <col min="4" max="12" width="9" style="58"/>
    <col min="13" max="13" width="16" style="58" bestFit="1" customWidth="1"/>
    <col min="14" max="14" width="23" style="58" bestFit="1" customWidth="1"/>
    <col min="15" max="16384" width="9" style="58"/>
  </cols>
  <sheetData>
    <row r="1" spans="1:16" ht="14.25" thickBot="1" x14ac:dyDescent="0.2"/>
    <row r="2" spans="1:16" ht="14.25" customHeight="1" thickBot="1" x14ac:dyDescent="0.2">
      <c r="A2" s="340" t="s">
        <v>189</v>
      </c>
      <c r="B2" s="332" t="s">
        <v>190</v>
      </c>
      <c r="C2" s="332" t="s">
        <v>191</v>
      </c>
      <c r="D2" s="332" t="s">
        <v>192</v>
      </c>
      <c r="E2" s="332" t="s">
        <v>193</v>
      </c>
      <c r="F2" s="334" t="s">
        <v>194</v>
      </c>
      <c r="G2" s="336" t="s">
        <v>195</v>
      </c>
      <c r="H2" s="332" t="s">
        <v>196</v>
      </c>
      <c r="I2" s="336" t="s">
        <v>197</v>
      </c>
      <c r="J2" s="338" t="s">
        <v>198</v>
      </c>
      <c r="K2" s="332" t="s">
        <v>199</v>
      </c>
      <c r="L2" s="334" t="s">
        <v>200</v>
      </c>
      <c r="M2" s="332" t="s">
        <v>201</v>
      </c>
      <c r="N2" s="332" t="s">
        <v>202</v>
      </c>
      <c r="O2" s="334" t="s">
        <v>203</v>
      </c>
      <c r="P2" s="332" t="s">
        <v>204</v>
      </c>
    </row>
    <row r="3" spans="1:16" ht="14.25" customHeight="1" thickBot="1" x14ac:dyDescent="0.2">
      <c r="A3" s="341"/>
      <c r="B3" s="333"/>
      <c r="C3" s="333"/>
      <c r="D3" s="333"/>
      <c r="E3" s="333"/>
      <c r="F3" s="335"/>
      <c r="G3" s="337"/>
      <c r="H3" s="333"/>
      <c r="I3" s="337"/>
      <c r="J3" s="339"/>
      <c r="K3" s="333"/>
      <c r="L3" s="335"/>
      <c r="M3" s="333"/>
      <c r="N3" s="333"/>
      <c r="O3" s="335"/>
      <c r="P3" s="333"/>
    </row>
    <row r="4" spans="1:16" ht="17.25" thickTop="1" x14ac:dyDescent="0.3">
      <c r="A4" s="59">
        <v>2.5</v>
      </c>
      <c r="B4" s="261">
        <v>380</v>
      </c>
      <c r="C4" s="262">
        <f>A4/(B4*0.9)/3^0.5*1000/0.9</f>
        <v>4.6893296717805857</v>
      </c>
      <c r="D4" s="262">
        <f t="shared" ref="D4:D50" si="0">ROUNDUP(B4*2^0.5*0.93,0)</f>
        <v>500</v>
      </c>
      <c r="E4" s="262">
        <f t="shared" ref="E4:E50" si="1">ROUNDUP(A4*1000/D4,0)</f>
        <v>5</v>
      </c>
      <c r="F4" s="261">
        <f t="shared" ref="F4:F50" si="2">30.8*100*C4/(1000*10)</f>
        <v>1.4443135389084203</v>
      </c>
      <c r="G4" s="63">
        <f t="shared" ref="G4:G50" si="3">C4/(H4*I4)</f>
        <v>0.13398084776515959</v>
      </c>
      <c r="H4" s="60">
        <v>35</v>
      </c>
      <c r="I4" s="60">
        <v>1</v>
      </c>
      <c r="J4" s="60">
        <f t="shared" ref="J4:J50" si="4">L4*0.052</f>
        <v>3.9</v>
      </c>
      <c r="K4" s="60">
        <v>16</v>
      </c>
      <c r="L4" s="60">
        <v>75</v>
      </c>
      <c r="M4" s="60" t="s">
        <v>205</v>
      </c>
      <c r="N4" s="60" t="s">
        <v>206</v>
      </c>
      <c r="O4" s="64">
        <f t="shared" ref="O4:O50" si="5">SUM(C4*1.25)</f>
        <v>5.8616620897257317</v>
      </c>
      <c r="P4" s="60" t="s">
        <v>207</v>
      </c>
    </row>
    <row r="5" spans="1:16" ht="16.5" x14ac:dyDescent="0.3">
      <c r="A5" s="59">
        <v>2.5</v>
      </c>
      <c r="B5" s="261">
        <v>380</v>
      </c>
      <c r="C5" s="262">
        <f t="shared" ref="C5:C50" si="6">ROUNDUP(A5/(B5*0.9)/3^0.5*1000/0.9,0)</f>
        <v>5</v>
      </c>
      <c r="D5" s="262">
        <f t="shared" si="0"/>
        <v>500</v>
      </c>
      <c r="E5" s="262">
        <f t="shared" si="1"/>
        <v>5</v>
      </c>
      <c r="F5" s="261">
        <f t="shared" si="2"/>
        <v>1.54</v>
      </c>
      <c r="G5" s="63">
        <f t="shared" si="3"/>
        <v>0.2</v>
      </c>
      <c r="H5" s="60">
        <v>25</v>
      </c>
      <c r="I5" s="60">
        <v>1</v>
      </c>
      <c r="J5" s="60">
        <f t="shared" si="4"/>
        <v>2.6</v>
      </c>
      <c r="K5" s="60">
        <v>16</v>
      </c>
      <c r="L5" s="60">
        <v>50</v>
      </c>
      <c r="M5" s="60" t="s">
        <v>208</v>
      </c>
      <c r="N5" s="60" t="s">
        <v>209</v>
      </c>
      <c r="O5" s="64">
        <f t="shared" si="5"/>
        <v>6.25</v>
      </c>
      <c r="P5" s="60" t="s">
        <v>210</v>
      </c>
    </row>
    <row r="6" spans="1:16" ht="16.5" x14ac:dyDescent="0.3">
      <c r="A6" s="59">
        <v>20</v>
      </c>
      <c r="B6" s="261">
        <v>440</v>
      </c>
      <c r="C6" s="262">
        <f t="shared" si="6"/>
        <v>33</v>
      </c>
      <c r="D6" s="262">
        <f t="shared" si="0"/>
        <v>579</v>
      </c>
      <c r="E6" s="262">
        <f t="shared" si="1"/>
        <v>35</v>
      </c>
      <c r="F6" s="261">
        <f t="shared" si="2"/>
        <v>10.164</v>
      </c>
      <c r="G6" s="63">
        <f t="shared" si="3"/>
        <v>1.32</v>
      </c>
      <c r="H6" s="60">
        <v>25</v>
      </c>
      <c r="I6" s="60">
        <v>1</v>
      </c>
      <c r="J6" s="60">
        <f t="shared" si="4"/>
        <v>2.6</v>
      </c>
      <c r="K6" s="60">
        <v>16</v>
      </c>
      <c r="L6" s="60">
        <v>50</v>
      </c>
      <c r="M6" s="60" t="s">
        <v>211</v>
      </c>
      <c r="N6" s="60" t="s">
        <v>212</v>
      </c>
      <c r="O6" s="64">
        <f t="shared" si="5"/>
        <v>41.25</v>
      </c>
      <c r="P6" s="60" t="s">
        <v>213</v>
      </c>
    </row>
    <row r="7" spans="1:16" ht="16.5" x14ac:dyDescent="0.3">
      <c r="A7" s="59">
        <v>25</v>
      </c>
      <c r="B7" s="60">
        <v>220</v>
      </c>
      <c r="C7" s="61">
        <f t="shared" si="6"/>
        <v>81</v>
      </c>
      <c r="D7" s="61">
        <f t="shared" si="0"/>
        <v>290</v>
      </c>
      <c r="E7" s="61">
        <f t="shared" si="1"/>
        <v>87</v>
      </c>
      <c r="F7" s="62">
        <f t="shared" si="2"/>
        <v>24.948</v>
      </c>
      <c r="G7" s="63">
        <f t="shared" si="3"/>
        <v>2.3142857142857145</v>
      </c>
      <c r="H7" s="60">
        <v>35</v>
      </c>
      <c r="I7" s="60">
        <v>1</v>
      </c>
      <c r="J7" s="60">
        <f t="shared" si="4"/>
        <v>5.2</v>
      </c>
      <c r="K7" s="60">
        <v>16</v>
      </c>
      <c r="L7" s="60">
        <v>100</v>
      </c>
      <c r="M7" s="60" t="s">
        <v>214</v>
      </c>
      <c r="N7" s="60" t="s">
        <v>206</v>
      </c>
      <c r="O7" s="64">
        <f t="shared" si="5"/>
        <v>101.25</v>
      </c>
      <c r="P7" s="60" t="s">
        <v>215</v>
      </c>
    </row>
    <row r="8" spans="1:16" ht="16.5" x14ac:dyDescent="0.3">
      <c r="A8" s="59">
        <v>25</v>
      </c>
      <c r="B8" s="60">
        <v>380</v>
      </c>
      <c r="C8" s="61">
        <f t="shared" si="6"/>
        <v>47</v>
      </c>
      <c r="D8" s="61">
        <f t="shared" si="0"/>
        <v>500</v>
      </c>
      <c r="E8" s="61">
        <f t="shared" si="1"/>
        <v>50</v>
      </c>
      <c r="F8" s="62">
        <f t="shared" si="2"/>
        <v>14.476000000000001</v>
      </c>
      <c r="G8" s="63">
        <f t="shared" si="3"/>
        <v>1.88</v>
      </c>
      <c r="H8" s="60">
        <v>25</v>
      </c>
      <c r="I8" s="60">
        <v>1</v>
      </c>
      <c r="J8" s="60">
        <f t="shared" si="4"/>
        <v>2.6</v>
      </c>
      <c r="K8" s="60">
        <v>16</v>
      </c>
      <c r="L8" s="60">
        <v>50</v>
      </c>
      <c r="M8" s="60" t="s">
        <v>216</v>
      </c>
      <c r="N8" s="60" t="s">
        <v>212</v>
      </c>
      <c r="O8" s="64">
        <f t="shared" si="5"/>
        <v>58.75</v>
      </c>
      <c r="P8" s="60" t="s">
        <v>217</v>
      </c>
    </row>
    <row r="9" spans="1:16" ht="16.5" x14ac:dyDescent="0.3">
      <c r="A9" s="59">
        <v>25</v>
      </c>
      <c r="B9" s="60">
        <v>440</v>
      </c>
      <c r="C9" s="61">
        <f t="shared" si="6"/>
        <v>41</v>
      </c>
      <c r="D9" s="61">
        <f t="shared" si="0"/>
        <v>579</v>
      </c>
      <c r="E9" s="61">
        <f t="shared" si="1"/>
        <v>44</v>
      </c>
      <c r="F9" s="62">
        <f t="shared" si="2"/>
        <v>12.628</v>
      </c>
      <c r="G9" s="63">
        <f t="shared" si="3"/>
        <v>1.64</v>
      </c>
      <c r="H9" s="60">
        <v>25</v>
      </c>
      <c r="I9" s="60">
        <v>1</v>
      </c>
      <c r="J9" s="60">
        <f t="shared" si="4"/>
        <v>2.6</v>
      </c>
      <c r="K9" s="60">
        <v>16</v>
      </c>
      <c r="L9" s="60">
        <v>50</v>
      </c>
      <c r="M9" s="60" t="s">
        <v>218</v>
      </c>
      <c r="N9" s="60" t="s">
        <v>219</v>
      </c>
      <c r="O9" s="64">
        <f t="shared" si="5"/>
        <v>51.25</v>
      </c>
      <c r="P9" s="60" t="s">
        <v>213</v>
      </c>
    </row>
    <row r="10" spans="1:16" ht="16.5" x14ac:dyDescent="0.3">
      <c r="A10" s="59">
        <v>30</v>
      </c>
      <c r="B10" s="60">
        <v>220</v>
      </c>
      <c r="C10" s="61">
        <f t="shared" si="6"/>
        <v>98</v>
      </c>
      <c r="D10" s="61">
        <f t="shared" si="0"/>
        <v>290</v>
      </c>
      <c r="E10" s="61">
        <f t="shared" si="1"/>
        <v>104</v>
      </c>
      <c r="F10" s="62">
        <f t="shared" si="2"/>
        <v>30.184000000000001</v>
      </c>
      <c r="G10" s="63">
        <f t="shared" si="3"/>
        <v>1.96</v>
      </c>
      <c r="H10" s="60">
        <v>50</v>
      </c>
      <c r="I10" s="60">
        <v>1</v>
      </c>
      <c r="J10" s="60">
        <f t="shared" si="4"/>
        <v>6.5</v>
      </c>
      <c r="K10" s="60">
        <v>16</v>
      </c>
      <c r="L10" s="60">
        <v>125</v>
      </c>
      <c r="M10" s="60" t="s">
        <v>220</v>
      </c>
      <c r="N10" s="60" t="s">
        <v>221</v>
      </c>
      <c r="O10" s="64">
        <f t="shared" si="5"/>
        <v>122.5</v>
      </c>
      <c r="P10" s="60" t="s">
        <v>222</v>
      </c>
    </row>
    <row r="11" spans="1:16" ht="16.5" x14ac:dyDescent="0.3">
      <c r="A11" s="59">
        <v>30</v>
      </c>
      <c r="B11" s="60">
        <v>380</v>
      </c>
      <c r="C11" s="61">
        <f t="shared" si="6"/>
        <v>57</v>
      </c>
      <c r="D11" s="61">
        <f t="shared" si="0"/>
        <v>500</v>
      </c>
      <c r="E11" s="61">
        <f t="shared" si="1"/>
        <v>60</v>
      </c>
      <c r="F11" s="62">
        <f t="shared" si="2"/>
        <v>17.556000000000001</v>
      </c>
      <c r="G11" s="63">
        <f t="shared" si="3"/>
        <v>1.6285714285714286</v>
      </c>
      <c r="H11" s="60">
        <v>35</v>
      </c>
      <c r="I11" s="60">
        <v>1</v>
      </c>
      <c r="J11" s="60">
        <f t="shared" si="4"/>
        <v>3.9</v>
      </c>
      <c r="K11" s="60">
        <v>16</v>
      </c>
      <c r="L11" s="60">
        <v>75</v>
      </c>
      <c r="M11" s="60" t="s">
        <v>223</v>
      </c>
      <c r="N11" s="60" t="s">
        <v>224</v>
      </c>
      <c r="O11" s="64">
        <f t="shared" si="5"/>
        <v>71.25</v>
      </c>
      <c r="P11" s="60" t="s">
        <v>225</v>
      </c>
    </row>
    <row r="12" spans="1:16" ht="16.5" x14ac:dyDescent="0.3">
      <c r="A12" s="59">
        <v>30</v>
      </c>
      <c r="B12" s="60">
        <v>440</v>
      </c>
      <c r="C12" s="61">
        <f t="shared" si="6"/>
        <v>49</v>
      </c>
      <c r="D12" s="61">
        <f t="shared" si="0"/>
        <v>579</v>
      </c>
      <c r="E12" s="61">
        <f t="shared" si="1"/>
        <v>52</v>
      </c>
      <c r="F12" s="62">
        <f t="shared" si="2"/>
        <v>15.092000000000001</v>
      </c>
      <c r="G12" s="63">
        <f t="shared" si="3"/>
        <v>1.4</v>
      </c>
      <c r="H12" s="60">
        <v>35</v>
      </c>
      <c r="I12" s="60">
        <v>1</v>
      </c>
      <c r="J12" s="60">
        <f t="shared" si="4"/>
        <v>3.9</v>
      </c>
      <c r="K12" s="60">
        <v>16</v>
      </c>
      <c r="L12" s="60">
        <v>75</v>
      </c>
      <c r="M12" s="60" t="s">
        <v>205</v>
      </c>
      <c r="N12" s="60" t="s">
        <v>206</v>
      </c>
      <c r="O12" s="64">
        <f t="shared" si="5"/>
        <v>61.25</v>
      </c>
      <c r="P12" s="60" t="s">
        <v>226</v>
      </c>
    </row>
    <row r="13" spans="1:16" ht="16.5" x14ac:dyDescent="0.3">
      <c r="A13" s="59">
        <v>50</v>
      </c>
      <c r="B13" s="60">
        <v>220</v>
      </c>
      <c r="C13" s="61">
        <f t="shared" si="6"/>
        <v>162</v>
      </c>
      <c r="D13" s="61">
        <f t="shared" si="0"/>
        <v>290</v>
      </c>
      <c r="E13" s="61">
        <f t="shared" si="1"/>
        <v>173</v>
      </c>
      <c r="F13" s="62">
        <f t="shared" si="2"/>
        <v>49.896000000000001</v>
      </c>
      <c r="G13" s="63">
        <f t="shared" si="3"/>
        <v>2.3142857142857145</v>
      </c>
      <c r="H13" s="60">
        <v>70</v>
      </c>
      <c r="I13" s="60">
        <v>1</v>
      </c>
      <c r="J13" s="60">
        <f t="shared" si="4"/>
        <v>10.4</v>
      </c>
      <c r="K13" s="60">
        <v>16</v>
      </c>
      <c r="L13" s="60">
        <v>200</v>
      </c>
      <c r="M13" s="60" t="s">
        <v>227</v>
      </c>
      <c r="N13" s="60" t="s">
        <v>228</v>
      </c>
      <c r="O13" s="64">
        <f t="shared" si="5"/>
        <v>202.5</v>
      </c>
      <c r="P13" s="60" t="s">
        <v>229</v>
      </c>
    </row>
    <row r="14" spans="1:16" ht="16.5" x14ac:dyDescent="0.3">
      <c r="A14" s="59">
        <v>50</v>
      </c>
      <c r="B14" s="60">
        <v>380</v>
      </c>
      <c r="C14" s="61">
        <f t="shared" si="6"/>
        <v>94</v>
      </c>
      <c r="D14" s="61">
        <f t="shared" si="0"/>
        <v>500</v>
      </c>
      <c r="E14" s="61">
        <f t="shared" si="1"/>
        <v>100</v>
      </c>
      <c r="F14" s="62">
        <f t="shared" si="2"/>
        <v>28.952000000000002</v>
      </c>
      <c r="G14" s="63">
        <f t="shared" si="3"/>
        <v>1.3428571428571427</v>
      </c>
      <c r="H14" s="60">
        <v>70</v>
      </c>
      <c r="I14" s="60">
        <v>1</v>
      </c>
      <c r="J14" s="60">
        <f t="shared" si="4"/>
        <v>6.5</v>
      </c>
      <c r="K14" s="60">
        <v>16</v>
      </c>
      <c r="L14" s="60">
        <v>125</v>
      </c>
      <c r="M14" s="60" t="s">
        <v>230</v>
      </c>
      <c r="N14" s="60" t="s">
        <v>231</v>
      </c>
      <c r="O14" s="64">
        <f t="shared" si="5"/>
        <v>117.5</v>
      </c>
      <c r="P14" s="60" t="s">
        <v>232</v>
      </c>
    </row>
    <row r="15" spans="1:16" ht="16.5" x14ac:dyDescent="0.3">
      <c r="A15" s="59">
        <v>50</v>
      </c>
      <c r="B15" s="60">
        <v>440</v>
      </c>
      <c r="C15" s="61">
        <f t="shared" si="6"/>
        <v>81</v>
      </c>
      <c r="D15" s="61">
        <f t="shared" si="0"/>
        <v>579</v>
      </c>
      <c r="E15" s="61">
        <f t="shared" si="1"/>
        <v>87</v>
      </c>
      <c r="F15" s="62">
        <f t="shared" si="2"/>
        <v>24.948</v>
      </c>
      <c r="G15" s="63">
        <f t="shared" si="3"/>
        <v>1.1571428571428573</v>
      </c>
      <c r="H15" s="60">
        <v>70</v>
      </c>
      <c r="I15" s="60">
        <v>1</v>
      </c>
      <c r="J15" s="60">
        <f t="shared" si="4"/>
        <v>5.2</v>
      </c>
      <c r="K15" s="60">
        <v>16</v>
      </c>
      <c r="L15" s="60">
        <v>100</v>
      </c>
      <c r="M15" s="60" t="s">
        <v>230</v>
      </c>
      <c r="N15" s="60" t="s">
        <v>233</v>
      </c>
      <c r="O15" s="64">
        <f t="shared" si="5"/>
        <v>101.25</v>
      </c>
      <c r="P15" s="60" t="s">
        <v>222</v>
      </c>
    </row>
    <row r="16" spans="1:16" ht="16.5" x14ac:dyDescent="0.3">
      <c r="A16" s="59">
        <v>75</v>
      </c>
      <c r="B16" s="60">
        <v>220</v>
      </c>
      <c r="C16" s="61">
        <f t="shared" si="6"/>
        <v>243</v>
      </c>
      <c r="D16" s="61">
        <f t="shared" si="0"/>
        <v>290</v>
      </c>
      <c r="E16" s="61">
        <f t="shared" si="1"/>
        <v>259</v>
      </c>
      <c r="F16" s="62">
        <f t="shared" si="2"/>
        <v>74.843999999999994</v>
      </c>
      <c r="G16" s="63">
        <f t="shared" si="3"/>
        <v>1.7357142857142858</v>
      </c>
      <c r="H16" s="60">
        <v>70</v>
      </c>
      <c r="I16" s="60">
        <v>2</v>
      </c>
      <c r="J16" s="60">
        <f t="shared" si="4"/>
        <v>15.6</v>
      </c>
      <c r="K16" s="60">
        <v>16</v>
      </c>
      <c r="L16" s="60">
        <v>300</v>
      </c>
      <c r="M16" s="60" t="s">
        <v>234</v>
      </c>
      <c r="N16" s="60" t="s">
        <v>235</v>
      </c>
      <c r="O16" s="64">
        <f t="shared" si="5"/>
        <v>303.75</v>
      </c>
      <c r="P16" s="60" t="s">
        <v>236</v>
      </c>
    </row>
    <row r="17" spans="1:16" ht="16.5" x14ac:dyDescent="0.3">
      <c r="A17" s="59">
        <v>75</v>
      </c>
      <c r="B17" s="60">
        <v>380</v>
      </c>
      <c r="C17" s="61">
        <f t="shared" si="6"/>
        <v>141</v>
      </c>
      <c r="D17" s="61">
        <f t="shared" si="0"/>
        <v>500</v>
      </c>
      <c r="E17" s="61">
        <f t="shared" si="1"/>
        <v>150</v>
      </c>
      <c r="F17" s="62">
        <f t="shared" si="2"/>
        <v>43.427999999999997</v>
      </c>
      <c r="G17" s="63">
        <f t="shared" si="3"/>
        <v>2.0142857142857142</v>
      </c>
      <c r="H17" s="60">
        <v>70</v>
      </c>
      <c r="I17" s="60">
        <v>1</v>
      </c>
      <c r="J17" s="60">
        <f t="shared" si="4"/>
        <v>9.1</v>
      </c>
      <c r="K17" s="60">
        <v>16</v>
      </c>
      <c r="L17" s="60">
        <v>175</v>
      </c>
      <c r="M17" s="60" t="s">
        <v>237</v>
      </c>
      <c r="N17" s="60" t="s">
        <v>238</v>
      </c>
      <c r="O17" s="64">
        <f t="shared" si="5"/>
        <v>176.25</v>
      </c>
      <c r="P17" s="60" t="s">
        <v>239</v>
      </c>
    </row>
    <row r="18" spans="1:16" ht="16.5" x14ac:dyDescent="0.3">
      <c r="A18" s="59">
        <v>75</v>
      </c>
      <c r="B18" s="60">
        <v>440</v>
      </c>
      <c r="C18" s="61">
        <f t="shared" si="6"/>
        <v>122</v>
      </c>
      <c r="D18" s="61">
        <f t="shared" si="0"/>
        <v>579</v>
      </c>
      <c r="E18" s="61">
        <f t="shared" si="1"/>
        <v>130</v>
      </c>
      <c r="F18" s="62">
        <f t="shared" si="2"/>
        <v>37.576000000000001</v>
      </c>
      <c r="G18" s="63">
        <f t="shared" si="3"/>
        <v>1.7428571428571429</v>
      </c>
      <c r="H18" s="60">
        <v>70</v>
      </c>
      <c r="I18" s="60">
        <v>1</v>
      </c>
      <c r="J18" s="60">
        <f t="shared" si="4"/>
        <v>7.8</v>
      </c>
      <c r="K18" s="60">
        <v>16</v>
      </c>
      <c r="L18" s="60">
        <v>150</v>
      </c>
      <c r="M18" s="60" t="s">
        <v>240</v>
      </c>
      <c r="N18" s="60" t="s">
        <v>238</v>
      </c>
      <c r="O18" s="64">
        <f t="shared" si="5"/>
        <v>152.5</v>
      </c>
      <c r="P18" s="60" t="s">
        <v>241</v>
      </c>
    </row>
    <row r="19" spans="1:16" ht="16.5" x14ac:dyDescent="0.3">
      <c r="A19" s="59">
        <v>100</v>
      </c>
      <c r="B19" s="60">
        <v>380</v>
      </c>
      <c r="C19" s="61">
        <f t="shared" si="6"/>
        <v>188</v>
      </c>
      <c r="D19" s="61">
        <f t="shared" si="0"/>
        <v>500</v>
      </c>
      <c r="E19" s="61">
        <f t="shared" si="1"/>
        <v>200</v>
      </c>
      <c r="F19" s="62">
        <f t="shared" si="2"/>
        <v>57.904000000000003</v>
      </c>
      <c r="G19" s="63">
        <f t="shared" si="3"/>
        <v>1.9789473684210526</v>
      </c>
      <c r="H19" s="60">
        <v>95</v>
      </c>
      <c r="I19" s="60">
        <v>1</v>
      </c>
      <c r="J19" s="60">
        <f t="shared" si="4"/>
        <v>10.4</v>
      </c>
      <c r="K19" s="60">
        <v>16</v>
      </c>
      <c r="L19" s="60">
        <v>200</v>
      </c>
      <c r="M19" s="60" t="s">
        <v>237</v>
      </c>
      <c r="N19" s="60" t="s">
        <v>242</v>
      </c>
      <c r="O19" s="64">
        <f t="shared" si="5"/>
        <v>235</v>
      </c>
      <c r="P19" s="60" t="s">
        <v>243</v>
      </c>
    </row>
    <row r="20" spans="1:16" ht="16.5" x14ac:dyDescent="0.3">
      <c r="A20" s="59">
        <v>100</v>
      </c>
      <c r="B20" s="60">
        <v>440</v>
      </c>
      <c r="C20" s="61">
        <f t="shared" si="6"/>
        <v>162</v>
      </c>
      <c r="D20" s="61">
        <f t="shared" si="0"/>
        <v>579</v>
      </c>
      <c r="E20" s="61">
        <f t="shared" si="1"/>
        <v>173</v>
      </c>
      <c r="F20" s="62">
        <f t="shared" si="2"/>
        <v>49.896000000000001</v>
      </c>
      <c r="G20" s="63">
        <f t="shared" si="3"/>
        <v>1.7052631578947368</v>
      </c>
      <c r="H20" s="60">
        <v>95</v>
      </c>
      <c r="I20" s="60">
        <v>1</v>
      </c>
      <c r="J20" s="60">
        <f t="shared" si="4"/>
        <v>10.4</v>
      </c>
      <c r="K20" s="60">
        <v>16</v>
      </c>
      <c r="L20" s="60">
        <v>200</v>
      </c>
      <c r="M20" s="60" t="s">
        <v>240</v>
      </c>
      <c r="N20" s="60" t="s">
        <v>244</v>
      </c>
      <c r="O20" s="64">
        <f t="shared" si="5"/>
        <v>202.5</v>
      </c>
      <c r="P20" s="60" t="s">
        <v>245</v>
      </c>
    </row>
    <row r="21" spans="1:16" ht="16.5" x14ac:dyDescent="0.3">
      <c r="A21" s="59">
        <v>125</v>
      </c>
      <c r="B21" s="60">
        <v>380</v>
      </c>
      <c r="C21" s="61">
        <f t="shared" si="6"/>
        <v>235</v>
      </c>
      <c r="D21" s="61">
        <f t="shared" si="0"/>
        <v>500</v>
      </c>
      <c r="E21" s="61">
        <f t="shared" si="1"/>
        <v>250</v>
      </c>
      <c r="F21" s="62">
        <f t="shared" si="2"/>
        <v>72.38</v>
      </c>
      <c r="G21" s="63">
        <f t="shared" si="3"/>
        <v>1.6785714285714286</v>
      </c>
      <c r="H21" s="60">
        <v>70</v>
      </c>
      <c r="I21" s="60">
        <v>2</v>
      </c>
      <c r="J21" s="60">
        <f t="shared" si="4"/>
        <v>13</v>
      </c>
      <c r="K21" s="60">
        <v>16</v>
      </c>
      <c r="L21" s="60">
        <v>250</v>
      </c>
      <c r="M21" s="60" t="s">
        <v>246</v>
      </c>
      <c r="N21" s="60" t="s">
        <v>247</v>
      </c>
      <c r="O21" s="64">
        <f t="shared" si="5"/>
        <v>293.75</v>
      </c>
      <c r="P21" s="60" t="s">
        <v>248</v>
      </c>
    </row>
    <row r="22" spans="1:16" ht="16.5" x14ac:dyDescent="0.3">
      <c r="A22" s="59">
        <v>125</v>
      </c>
      <c r="B22" s="60">
        <v>440</v>
      </c>
      <c r="C22" s="61">
        <f t="shared" si="6"/>
        <v>203</v>
      </c>
      <c r="D22" s="61">
        <f t="shared" si="0"/>
        <v>579</v>
      </c>
      <c r="E22" s="61">
        <f t="shared" si="1"/>
        <v>216</v>
      </c>
      <c r="F22" s="62">
        <f t="shared" si="2"/>
        <v>62.524000000000001</v>
      </c>
      <c r="G22" s="63">
        <f t="shared" si="3"/>
        <v>1.45</v>
      </c>
      <c r="H22" s="60">
        <v>70</v>
      </c>
      <c r="I22" s="60">
        <v>2</v>
      </c>
      <c r="J22" s="60">
        <f t="shared" si="4"/>
        <v>13</v>
      </c>
      <c r="K22" s="60">
        <v>16</v>
      </c>
      <c r="L22" s="60">
        <v>250</v>
      </c>
      <c r="M22" s="60" t="s">
        <v>249</v>
      </c>
      <c r="N22" s="60" t="s">
        <v>242</v>
      </c>
      <c r="O22" s="64">
        <f t="shared" si="5"/>
        <v>253.75</v>
      </c>
      <c r="P22" s="60" t="s">
        <v>236</v>
      </c>
    </row>
    <row r="23" spans="1:16" ht="16.5" x14ac:dyDescent="0.3">
      <c r="A23" s="59">
        <v>150</v>
      </c>
      <c r="B23" s="60">
        <v>380</v>
      </c>
      <c r="C23" s="61">
        <f t="shared" si="6"/>
        <v>282</v>
      </c>
      <c r="D23" s="61">
        <f t="shared" si="0"/>
        <v>500</v>
      </c>
      <c r="E23" s="61">
        <f t="shared" si="1"/>
        <v>300</v>
      </c>
      <c r="F23" s="62">
        <f t="shared" si="2"/>
        <v>86.855999999999995</v>
      </c>
      <c r="G23" s="63">
        <f t="shared" si="3"/>
        <v>2.0142857142857142</v>
      </c>
      <c r="H23" s="60">
        <v>70</v>
      </c>
      <c r="I23" s="60">
        <v>2</v>
      </c>
      <c r="J23" s="60">
        <f t="shared" si="4"/>
        <v>15.6</v>
      </c>
      <c r="K23" s="60">
        <v>25</v>
      </c>
      <c r="L23" s="60">
        <v>300</v>
      </c>
      <c r="M23" s="60" t="s">
        <v>234</v>
      </c>
      <c r="N23" s="60" t="s">
        <v>235</v>
      </c>
      <c r="O23" s="64">
        <f t="shared" si="5"/>
        <v>352.5</v>
      </c>
      <c r="P23" s="60" t="s">
        <v>250</v>
      </c>
    </row>
    <row r="24" spans="1:16" ht="16.5" x14ac:dyDescent="0.3">
      <c r="A24" s="59">
        <v>150</v>
      </c>
      <c r="B24" s="60">
        <v>440</v>
      </c>
      <c r="C24" s="61">
        <f t="shared" si="6"/>
        <v>243</v>
      </c>
      <c r="D24" s="61">
        <f t="shared" si="0"/>
        <v>579</v>
      </c>
      <c r="E24" s="61">
        <f t="shared" si="1"/>
        <v>260</v>
      </c>
      <c r="F24" s="62">
        <f t="shared" si="2"/>
        <v>74.843999999999994</v>
      </c>
      <c r="G24" s="63">
        <f t="shared" si="3"/>
        <v>1.7357142857142858</v>
      </c>
      <c r="H24" s="60">
        <v>70</v>
      </c>
      <c r="I24" s="60">
        <v>2</v>
      </c>
      <c r="J24" s="60">
        <f t="shared" si="4"/>
        <v>15.6</v>
      </c>
      <c r="K24" s="60">
        <v>25</v>
      </c>
      <c r="L24" s="60">
        <v>300</v>
      </c>
      <c r="M24" s="60" t="s">
        <v>234</v>
      </c>
      <c r="N24" s="60" t="s">
        <v>235</v>
      </c>
      <c r="O24" s="64">
        <f t="shared" si="5"/>
        <v>303.75</v>
      </c>
      <c r="P24" s="60" t="s">
        <v>251</v>
      </c>
    </row>
    <row r="25" spans="1:16" ht="16.5" x14ac:dyDescent="0.3">
      <c r="A25" s="59">
        <v>200</v>
      </c>
      <c r="B25" s="60">
        <v>380</v>
      </c>
      <c r="C25" s="61">
        <f t="shared" si="6"/>
        <v>376</v>
      </c>
      <c r="D25" s="61">
        <f t="shared" si="0"/>
        <v>500</v>
      </c>
      <c r="E25" s="61">
        <f t="shared" si="1"/>
        <v>400</v>
      </c>
      <c r="F25" s="62">
        <f t="shared" si="2"/>
        <v>115.80800000000001</v>
      </c>
      <c r="G25" s="63">
        <f t="shared" si="3"/>
        <v>1.9789473684210526</v>
      </c>
      <c r="H25" s="60">
        <v>95</v>
      </c>
      <c r="I25" s="60">
        <v>2</v>
      </c>
      <c r="J25" s="60">
        <f t="shared" si="4"/>
        <v>20.8</v>
      </c>
      <c r="K25" s="60">
        <v>25</v>
      </c>
      <c r="L25" s="60">
        <v>400</v>
      </c>
      <c r="M25" s="60" t="s">
        <v>252</v>
      </c>
      <c r="N25" s="60" t="s">
        <v>235</v>
      </c>
      <c r="O25" s="64">
        <f t="shared" si="5"/>
        <v>470</v>
      </c>
      <c r="P25" s="60" t="s">
        <v>253</v>
      </c>
    </row>
    <row r="26" spans="1:16" ht="16.5" x14ac:dyDescent="0.3">
      <c r="A26" s="59">
        <v>200</v>
      </c>
      <c r="B26" s="60">
        <v>440</v>
      </c>
      <c r="C26" s="61">
        <f t="shared" si="6"/>
        <v>324</v>
      </c>
      <c r="D26" s="61">
        <f t="shared" si="0"/>
        <v>579</v>
      </c>
      <c r="E26" s="61">
        <f t="shared" si="1"/>
        <v>346</v>
      </c>
      <c r="F26" s="62">
        <f t="shared" si="2"/>
        <v>99.792000000000002</v>
      </c>
      <c r="G26" s="63">
        <f t="shared" si="3"/>
        <v>1.7052631578947368</v>
      </c>
      <c r="H26" s="60">
        <v>95</v>
      </c>
      <c r="I26" s="60">
        <v>2</v>
      </c>
      <c r="J26" s="60">
        <f t="shared" si="4"/>
        <v>20.8</v>
      </c>
      <c r="K26" s="60">
        <v>25</v>
      </c>
      <c r="L26" s="60">
        <v>400</v>
      </c>
      <c r="M26" s="60" t="s">
        <v>252</v>
      </c>
      <c r="N26" s="60" t="s">
        <v>235</v>
      </c>
      <c r="O26" s="64">
        <f t="shared" si="5"/>
        <v>405</v>
      </c>
      <c r="P26" s="60" t="s">
        <v>250</v>
      </c>
    </row>
    <row r="27" spans="1:16" ht="16.5" x14ac:dyDescent="0.3">
      <c r="A27" s="59">
        <v>250</v>
      </c>
      <c r="B27" s="60">
        <v>380</v>
      </c>
      <c r="C27" s="61">
        <f t="shared" si="6"/>
        <v>469</v>
      </c>
      <c r="D27" s="61">
        <f t="shared" si="0"/>
        <v>500</v>
      </c>
      <c r="E27" s="61">
        <f t="shared" si="1"/>
        <v>500</v>
      </c>
      <c r="F27" s="62">
        <f t="shared" si="2"/>
        <v>144.452</v>
      </c>
      <c r="G27" s="63">
        <f t="shared" si="3"/>
        <v>1.9541666666666666</v>
      </c>
      <c r="H27" s="60">
        <v>120</v>
      </c>
      <c r="I27" s="60">
        <v>2</v>
      </c>
      <c r="J27" s="60">
        <f t="shared" si="4"/>
        <v>26</v>
      </c>
      <c r="K27" s="60">
        <v>35</v>
      </c>
      <c r="L27" s="60">
        <v>500</v>
      </c>
      <c r="M27" s="60" t="s">
        <v>254</v>
      </c>
      <c r="N27" s="60" t="s">
        <v>255</v>
      </c>
      <c r="O27" s="64">
        <f t="shared" si="5"/>
        <v>586.25</v>
      </c>
      <c r="P27" s="60" t="s">
        <v>256</v>
      </c>
    </row>
    <row r="28" spans="1:16" ht="16.5" x14ac:dyDescent="0.3">
      <c r="A28" s="59">
        <v>250</v>
      </c>
      <c r="B28" s="60">
        <v>440</v>
      </c>
      <c r="C28" s="61">
        <f t="shared" si="6"/>
        <v>405</v>
      </c>
      <c r="D28" s="61">
        <f t="shared" si="0"/>
        <v>579</v>
      </c>
      <c r="E28" s="61">
        <f t="shared" si="1"/>
        <v>432</v>
      </c>
      <c r="F28" s="62">
        <f t="shared" si="2"/>
        <v>124.74</v>
      </c>
      <c r="G28" s="63">
        <f t="shared" si="3"/>
        <v>1.6875</v>
      </c>
      <c r="H28" s="60">
        <v>120</v>
      </c>
      <c r="I28" s="60">
        <v>2</v>
      </c>
      <c r="J28" s="60">
        <f t="shared" si="4"/>
        <v>26</v>
      </c>
      <c r="K28" s="60">
        <v>35</v>
      </c>
      <c r="L28" s="60">
        <v>500</v>
      </c>
      <c r="M28" s="60" t="s">
        <v>254</v>
      </c>
      <c r="N28" s="60" t="s">
        <v>257</v>
      </c>
      <c r="O28" s="64">
        <f t="shared" si="5"/>
        <v>506.25</v>
      </c>
      <c r="P28" s="60" t="s">
        <v>258</v>
      </c>
    </row>
    <row r="29" spans="1:16" ht="16.5" x14ac:dyDescent="0.3">
      <c r="A29" s="59">
        <v>300</v>
      </c>
      <c r="B29" s="60">
        <v>380</v>
      </c>
      <c r="C29" s="61">
        <f t="shared" si="6"/>
        <v>563</v>
      </c>
      <c r="D29" s="61">
        <f t="shared" si="0"/>
        <v>500</v>
      </c>
      <c r="E29" s="61">
        <f t="shared" si="1"/>
        <v>600</v>
      </c>
      <c r="F29" s="62">
        <f t="shared" si="2"/>
        <v>173.404</v>
      </c>
      <c r="G29" s="63">
        <f t="shared" si="3"/>
        <v>1.8766666666666667</v>
      </c>
      <c r="H29" s="60">
        <v>150</v>
      </c>
      <c r="I29" s="60">
        <v>2</v>
      </c>
      <c r="J29" s="60">
        <f t="shared" si="4"/>
        <v>32.76</v>
      </c>
      <c r="K29" s="60">
        <v>35</v>
      </c>
      <c r="L29" s="60">
        <v>630</v>
      </c>
      <c r="M29" s="60" t="s">
        <v>259</v>
      </c>
      <c r="N29" s="60" t="s">
        <v>255</v>
      </c>
      <c r="O29" s="64">
        <f t="shared" si="5"/>
        <v>703.75</v>
      </c>
      <c r="P29" s="60" t="s">
        <v>260</v>
      </c>
    </row>
    <row r="30" spans="1:16" ht="16.5" x14ac:dyDescent="0.3">
      <c r="A30" s="59">
        <v>300</v>
      </c>
      <c r="B30" s="60">
        <v>440</v>
      </c>
      <c r="C30" s="61">
        <f t="shared" si="6"/>
        <v>486</v>
      </c>
      <c r="D30" s="61">
        <f t="shared" si="0"/>
        <v>579</v>
      </c>
      <c r="E30" s="61">
        <f t="shared" si="1"/>
        <v>519</v>
      </c>
      <c r="F30" s="62">
        <f t="shared" si="2"/>
        <v>149.68799999999999</v>
      </c>
      <c r="G30" s="63">
        <f t="shared" si="3"/>
        <v>1.62</v>
      </c>
      <c r="H30" s="60">
        <v>150</v>
      </c>
      <c r="I30" s="60">
        <v>2</v>
      </c>
      <c r="J30" s="60">
        <f t="shared" si="4"/>
        <v>32.76</v>
      </c>
      <c r="K30" s="60">
        <v>35</v>
      </c>
      <c r="L30" s="60">
        <v>630</v>
      </c>
      <c r="M30" s="60" t="s">
        <v>261</v>
      </c>
      <c r="N30" s="60" t="s">
        <v>255</v>
      </c>
      <c r="O30" s="64">
        <f t="shared" si="5"/>
        <v>607.5</v>
      </c>
      <c r="P30" s="60" t="s">
        <v>256</v>
      </c>
    </row>
    <row r="31" spans="1:16" ht="16.5" x14ac:dyDescent="0.3">
      <c r="A31" s="59">
        <v>350</v>
      </c>
      <c r="B31" s="60">
        <v>440</v>
      </c>
      <c r="C31" s="61">
        <f t="shared" si="6"/>
        <v>567</v>
      </c>
      <c r="D31" s="61">
        <f t="shared" si="0"/>
        <v>579</v>
      </c>
      <c r="E31" s="61">
        <f t="shared" si="1"/>
        <v>605</v>
      </c>
      <c r="F31" s="62">
        <f t="shared" si="2"/>
        <v>174.636</v>
      </c>
      <c r="G31" s="63">
        <f t="shared" si="3"/>
        <v>1.89</v>
      </c>
      <c r="H31" s="60">
        <v>150</v>
      </c>
      <c r="I31" s="60">
        <v>2</v>
      </c>
      <c r="J31" s="60">
        <f t="shared" si="4"/>
        <v>36.4</v>
      </c>
      <c r="K31" s="60">
        <v>50</v>
      </c>
      <c r="L31" s="60">
        <v>700</v>
      </c>
      <c r="M31" s="60" t="s">
        <v>262</v>
      </c>
      <c r="N31" s="60" t="s">
        <v>263</v>
      </c>
      <c r="O31" s="64">
        <f t="shared" si="5"/>
        <v>708.75</v>
      </c>
      <c r="P31" s="60" t="s">
        <v>264</v>
      </c>
    </row>
    <row r="32" spans="1:16" ht="16.5" x14ac:dyDescent="0.3">
      <c r="A32" s="59">
        <v>400</v>
      </c>
      <c r="B32" s="60">
        <v>440</v>
      </c>
      <c r="C32" s="61">
        <f t="shared" si="6"/>
        <v>648</v>
      </c>
      <c r="D32" s="61">
        <f t="shared" si="0"/>
        <v>579</v>
      </c>
      <c r="E32" s="61">
        <f t="shared" si="1"/>
        <v>691</v>
      </c>
      <c r="F32" s="62">
        <f t="shared" si="2"/>
        <v>199.584</v>
      </c>
      <c r="G32" s="63">
        <f t="shared" si="3"/>
        <v>2.16</v>
      </c>
      <c r="H32" s="60">
        <v>150</v>
      </c>
      <c r="I32" s="60">
        <v>2</v>
      </c>
      <c r="J32" s="60">
        <f t="shared" si="4"/>
        <v>41.6</v>
      </c>
      <c r="K32" s="60">
        <v>50</v>
      </c>
      <c r="L32" s="60">
        <v>800</v>
      </c>
      <c r="M32" s="60" t="s">
        <v>265</v>
      </c>
      <c r="N32" s="60" t="s">
        <v>263</v>
      </c>
      <c r="O32" s="64">
        <f t="shared" si="5"/>
        <v>810</v>
      </c>
      <c r="P32" s="60" t="s">
        <v>266</v>
      </c>
    </row>
    <row r="33" spans="1:16" ht="16.5" x14ac:dyDescent="0.3">
      <c r="A33" s="59">
        <v>450</v>
      </c>
      <c r="B33" s="60">
        <v>440</v>
      </c>
      <c r="C33" s="61">
        <f t="shared" si="6"/>
        <v>729</v>
      </c>
      <c r="D33" s="61">
        <f t="shared" si="0"/>
        <v>579</v>
      </c>
      <c r="E33" s="61">
        <f t="shared" si="1"/>
        <v>778</v>
      </c>
      <c r="F33" s="62"/>
      <c r="G33" s="63">
        <f t="shared" si="3"/>
        <v>1.9702702702702704</v>
      </c>
      <c r="H33" s="60">
        <v>185</v>
      </c>
      <c r="I33" s="60">
        <v>2</v>
      </c>
      <c r="J33" s="60">
        <f t="shared" si="4"/>
        <v>41.6</v>
      </c>
      <c r="K33" s="60">
        <v>50</v>
      </c>
      <c r="L33" s="60">
        <v>800</v>
      </c>
      <c r="M33" s="60" t="s">
        <v>262</v>
      </c>
      <c r="N33" s="60" t="s">
        <v>267</v>
      </c>
      <c r="O33" s="64">
        <f t="shared" si="5"/>
        <v>911.25</v>
      </c>
      <c r="P33" s="60" t="s">
        <v>268</v>
      </c>
    </row>
    <row r="34" spans="1:16" ht="16.5" x14ac:dyDescent="0.3">
      <c r="A34" s="59">
        <v>500</v>
      </c>
      <c r="B34" s="60">
        <v>440</v>
      </c>
      <c r="C34" s="61">
        <f t="shared" si="6"/>
        <v>810</v>
      </c>
      <c r="D34" s="61">
        <f t="shared" si="0"/>
        <v>579</v>
      </c>
      <c r="E34" s="61">
        <f t="shared" si="1"/>
        <v>864</v>
      </c>
      <c r="F34" s="62">
        <f t="shared" si="2"/>
        <v>249.48</v>
      </c>
      <c r="G34" s="63">
        <f t="shared" si="3"/>
        <v>2.189189189189189</v>
      </c>
      <c r="H34" s="60">
        <v>185</v>
      </c>
      <c r="I34" s="60">
        <v>2</v>
      </c>
      <c r="J34" s="60">
        <f t="shared" si="4"/>
        <v>52</v>
      </c>
      <c r="K34" s="60">
        <v>70</v>
      </c>
      <c r="L34" s="60">
        <v>1000</v>
      </c>
      <c r="M34" s="60" t="s">
        <v>269</v>
      </c>
      <c r="N34" s="60" t="s">
        <v>270</v>
      </c>
      <c r="O34" s="64">
        <f t="shared" si="5"/>
        <v>1012.5</v>
      </c>
      <c r="P34" s="60" t="s">
        <v>271</v>
      </c>
    </row>
    <row r="35" spans="1:16" ht="16.5" x14ac:dyDescent="0.3">
      <c r="A35" s="59">
        <v>600</v>
      </c>
      <c r="B35" s="60">
        <v>460</v>
      </c>
      <c r="C35" s="61">
        <f t="shared" si="6"/>
        <v>930</v>
      </c>
      <c r="D35" s="61">
        <f t="shared" si="0"/>
        <v>606</v>
      </c>
      <c r="E35" s="61">
        <f t="shared" si="1"/>
        <v>991</v>
      </c>
      <c r="F35" s="62">
        <f t="shared" si="2"/>
        <v>286.44</v>
      </c>
      <c r="G35" s="63">
        <f t="shared" si="3"/>
        <v>1.6756756756756757</v>
      </c>
      <c r="H35" s="60">
        <v>185</v>
      </c>
      <c r="I35" s="60">
        <v>3</v>
      </c>
      <c r="J35" s="60">
        <f t="shared" si="4"/>
        <v>62.4</v>
      </c>
      <c r="K35" s="60">
        <v>70</v>
      </c>
      <c r="L35" s="60">
        <v>1200</v>
      </c>
      <c r="M35" s="60" t="s">
        <v>272</v>
      </c>
      <c r="N35" s="60" t="s">
        <v>270</v>
      </c>
      <c r="O35" s="64">
        <f t="shared" si="5"/>
        <v>1162.5</v>
      </c>
      <c r="P35" s="60" t="s">
        <v>273</v>
      </c>
    </row>
    <row r="36" spans="1:16" ht="16.5" x14ac:dyDescent="0.3">
      <c r="A36" s="59">
        <v>700</v>
      </c>
      <c r="B36" s="60">
        <v>460</v>
      </c>
      <c r="C36" s="61">
        <f t="shared" si="6"/>
        <v>1085</v>
      </c>
      <c r="D36" s="61">
        <f t="shared" si="0"/>
        <v>606</v>
      </c>
      <c r="E36" s="61">
        <f t="shared" si="1"/>
        <v>1156</v>
      </c>
      <c r="F36" s="62">
        <f t="shared" si="2"/>
        <v>334.18</v>
      </c>
      <c r="G36" s="63">
        <f t="shared" si="3"/>
        <v>1.4662162162162162</v>
      </c>
      <c r="H36" s="60">
        <v>185</v>
      </c>
      <c r="I36" s="60">
        <v>4</v>
      </c>
      <c r="J36" s="60">
        <f t="shared" si="4"/>
        <v>65</v>
      </c>
      <c r="K36" s="60">
        <v>70</v>
      </c>
      <c r="L36" s="60">
        <v>1250</v>
      </c>
      <c r="M36" s="60" t="s">
        <v>274</v>
      </c>
      <c r="N36" s="60" t="s">
        <v>275</v>
      </c>
      <c r="O36" s="64">
        <f t="shared" si="5"/>
        <v>1356.25</v>
      </c>
      <c r="P36" s="65" t="s">
        <v>276</v>
      </c>
    </row>
    <row r="37" spans="1:16" ht="16.5" x14ac:dyDescent="0.3">
      <c r="A37" s="59">
        <v>750</v>
      </c>
      <c r="B37" s="60">
        <v>460</v>
      </c>
      <c r="C37" s="61">
        <f t="shared" si="6"/>
        <v>1163</v>
      </c>
      <c r="D37" s="61">
        <f t="shared" si="0"/>
        <v>606</v>
      </c>
      <c r="E37" s="61">
        <f t="shared" si="1"/>
        <v>1238</v>
      </c>
      <c r="F37" s="62">
        <f t="shared" si="2"/>
        <v>358.20400000000001</v>
      </c>
      <c r="G37" s="63">
        <f t="shared" si="3"/>
        <v>1.5716216216216217</v>
      </c>
      <c r="H37" s="60">
        <v>185</v>
      </c>
      <c r="I37" s="60">
        <v>4</v>
      </c>
      <c r="J37" s="60">
        <f t="shared" si="4"/>
        <v>65</v>
      </c>
      <c r="K37" s="60">
        <v>70</v>
      </c>
      <c r="L37" s="60">
        <v>1250</v>
      </c>
      <c r="M37" s="60" t="s">
        <v>277</v>
      </c>
      <c r="N37" s="60" t="s">
        <v>275</v>
      </c>
      <c r="O37" s="64">
        <f t="shared" si="5"/>
        <v>1453.75</v>
      </c>
      <c r="P37" s="65" t="s">
        <v>278</v>
      </c>
    </row>
    <row r="38" spans="1:16" ht="16.5" x14ac:dyDescent="0.3">
      <c r="A38" s="59">
        <v>800</v>
      </c>
      <c r="B38" s="60">
        <v>460</v>
      </c>
      <c r="C38" s="61">
        <f t="shared" si="6"/>
        <v>1240</v>
      </c>
      <c r="D38" s="61">
        <f t="shared" si="0"/>
        <v>606</v>
      </c>
      <c r="E38" s="61">
        <f t="shared" si="1"/>
        <v>1321</v>
      </c>
      <c r="F38" s="62">
        <f t="shared" si="2"/>
        <v>381.92</v>
      </c>
      <c r="G38" s="63">
        <f t="shared" si="3"/>
        <v>1.6756756756756757</v>
      </c>
      <c r="H38" s="60">
        <v>185</v>
      </c>
      <c r="I38" s="60">
        <v>4</v>
      </c>
      <c r="J38" s="60">
        <f t="shared" si="4"/>
        <v>83.2</v>
      </c>
      <c r="K38" s="60">
        <v>95</v>
      </c>
      <c r="L38" s="60">
        <v>1600</v>
      </c>
      <c r="M38" s="60" t="s">
        <v>279</v>
      </c>
      <c r="N38" s="60" t="s">
        <v>280</v>
      </c>
      <c r="O38" s="64">
        <f t="shared" si="5"/>
        <v>1550</v>
      </c>
      <c r="P38" s="65" t="s">
        <v>281</v>
      </c>
    </row>
    <row r="39" spans="1:16" ht="16.5" x14ac:dyDescent="0.3">
      <c r="A39" s="59">
        <v>1000</v>
      </c>
      <c r="B39" s="60">
        <v>460</v>
      </c>
      <c r="C39" s="61">
        <f t="shared" si="6"/>
        <v>1550</v>
      </c>
      <c r="D39" s="61">
        <f t="shared" si="0"/>
        <v>606</v>
      </c>
      <c r="E39" s="61">
        <f t="shared" si="1"/>
        <v>1651</v>
      </c>
      <c r="F39" s="62">
        <f t="shared" si="2"/>
        <v>477.4</v>
      </c>
      <c r="G39" s="63">
        <f t="shared" si="3"/>
        <v>1.6145833333333333</v>
      </c>
      <c r="H39" s="60">
        <v>240</v>
      </c>
      <c r="I39" s="60">
        <v>4</v>
      </c>
      <c r="J39" s="60">
        <f t="shared" si="4"/>
        <v>104</v>
      </c>
      <c r="K39" s="60">
        <v>120</v>
      </c>
      <c r="L39" s="60">
        <v>2000</v>
      </c>
      <c r="M39" s="60" t="s">
        <v>282</v>
      </c>
      <c r="N39" s="60" t="s">
        <v>283</v>
      </c>
      <c r="O39" s="64">
        <f t="shared" si="5"/>
        <v>1937.5</v>
      </c>
      <c r="P39" s="65" t="s">
        <v>276</v>
      </c>
    </row>
    <row r="40" spans="1:16" ht="16.5" x14ac:dyDescent="0.3">
      <c r="A40" s="59">
        <v>1200</v>
      </c>
      <c r="B40" s="60">
        <v>460</v>
      </c>
      <c r="C40" s="61">
        <f t="shared" si="6"/>
        <v>1860</v>
      </c>
      <c r="D40" s="61">
        <f t="shared" si="0"/>
        <v>606</v>
      </c>
      <c r="E40" s="61">
        <f t="shared" si="1"/>
        <v>1981</v>
      </c>
      <c r="F40" s="62">
        <f t="shared" si="2"/>
        <v>572.88</v>
      </c>
      <c r="G40" s="63">
        <f t="shared" si="3"/>
        <v>1.55</v>
      </c>
      <c r="H40" s="60">
        <v>300</v>
      </c>
      <c r="I40" s="60">
        <v>4</v>
      </c>
      <c r="J40" s="60">
        <f t="shared" si="4"/>
        <v>130</v>
      </c>
      <c r="K40" s="60">
        <v>150</v>
      </c>
      <c r="L40" s="60">
        <v>2500</v>
      </c>
      <c r="M40" s="60" t="s">
        <v>284</v>
      </c>
      <c r="N40" s="60" t="s">
        <v>285</v>
      </c>
      <c r="O40" s="64">
        <f t="shared" si="5"/>
        <v>2325</v>
      </c>
      <c r="P40" s="65" t="s">
        <v>286</v>
      </c>
    </row>
    <row r="41" spans="1:16" ht="16.5" x14ac:dyDescent="0.3">
      <c r="A41" s="59">
        <v>1250</v>
      </c>
      <c r="B41" s="60">
        <v>460</v>
      </c>
      <c r="C41" s="61">
        <f t="shared" si="6"/>
        <v>1937</v>
      </c>
      <c r="D41" s="61">
        <f t="shared" si="0"/>
        <v>606</v>
      </c>
      <c r="E41" s="61">
        <f t="shared" si="1"/>
        <v>2063</v>
      </c>
      <c r="F41" s="62">
        <f t="shared" si="2"/>
        <v>596.596</v>
      </c>
      <c r="G41" s="63">
        <f t="shared" si="3"/>
        <v>1.6141666666666667</v>
      </c>
      <c r="H41" s="60">
        <v>300</v>
      </c>
      <c r="I41" s="60">
        <v>4</v>
      </c>
      <c r="J41" s="60">
        <f t="shared" si="4"/>
        <v>130</v>
      </c>
      <c r="K41" s="60">
        <v>150</v>
      </c>
      <c r="L41" s="60">
        <v>2500</v>
      </c>
      <c r="M41" s="60" t="s">
        <v>287</v>
      </c>
      <c r="N41" s="60" t="s">
        <v>288</v>
      </c>
      <c r="O41" s="64">
        <f t="shared" si="5"/>
        <v>2421.25</v>
      </c>
      <c r="P41" s="65" t="s">
        <v>276</v>
      </c>
    </row>
    <row r="42" spans="1:16" ht="16.5" x14ac:dyDescent="0.3">
      <c r="A42" s="59">
        <v>1500</v>
      </c>
      <c r="B42" s="60">
        <v>460</v>
      </c>
      <c r="C42" s="61">
        <f t="shared" si="6"/>
        <v>2325</v>
      </c>
      <c r="D42" s="61">
        <f t="shared" si="0"/>
        <v>606</v>
      </c>
      <c r="E42" s="61">
        <f t="shared" si="1"/>
        <v>2476</v>
      </c>
      <c r="F42" s="62">
        <f t="shared" si="2"/>
        <v>716.1</v>
      </c>
      <c r="G42" s="63">
        <f t="shared" si="3"/>
        <v>1.55</v>
      </c>
      <c r="H42" s="60">
        <v>300</v>
      </c>
      <c r="I42" s="60">
        <v>5</v>
      </c>
      <c r="J42" s="60">
        <f t="shared" si="4"/>
        <v>130</v>
      </c>
      <c r="K42" s="60">
        <v>150</v>
      </c>
      <c r="L42" s="60">
        <v>2500</v>
      </c>
      <c r="M42" s="60" t="s">
        <v>289</v>
      </c>
      <c r="N42" s="60" t="s">
        <v>288</v>
      </c>
      <c r="O42" s="64">
        <f t="shared" si="5"/>
        <v>2906.25</v>
      </c>
      <c r="P42" s="65" t="s">
        <v>276</v>
      </c>
    </row>
    <row r="43" spans="1:16" ht="16.5" x14ac:dyDescent="0.3">
      <c r="A43" s="59">
        <v>1500</v>
      </c>
      <c r="B43" s="60">
        <v>650</v>
      </c>
      <c r="C43" s="61">
        <f t="shared" si="6"/>
        <v>1645</v>
      </c>
      <c r="D43" s="61">
        <f t="shared" si="0"/>
        <v>855</v>
      </c>
      <c r="E43" s="61">
        <f t="shared" si="1"/>
        <v>1755</v>
      </c>
      <c r="F43" s="62">
        <f t="shared" si="2"/>
        <v>506.66</v>
      </c>
      <c r="G43" s="63">
        <f t="shared" si="3"/>
        <v>1.7135416666666667</v>
      </c>
      <c r="H43" s="60">
        <v>240</v>
      </c>
      <c r="I43" s="60">
        <v>4</v>
      </c>
      <c r="J43" s="60">
        <f t="shared" si="4"/>
        <v>104</v>
      </c>
      <c r="K43" s="60">
        <v>120</v>
      </c>
      <c r="L43" s="60">
        <v>2000</v>
      </c>
      <c r="M43" s="60" t="s">
        <v>290</v>
      </c>
      <c r="N43" s="60" t="s">
        <v>283</v>
      </c>
      <c r="O43" s="64">
        <f t="shared" si="5"/>
        <v>2056.25</v>
      </c>
      <c r="P43" s="65" t="s">
        <v>281</v>
      </c>
    </row>
    <row r="44" spans="1:16" ht="16.5" x14ac:dyDescent="0.3">
      <c r="A44" s="59">
        <v>1600</v>
      </c>
      <c r="B44" s="60">
        <v>690</v>
      </c>
      <c r="C44" s="61">
        <f>ROUNDUP(A44/(B44*0.9)/3^0.5*1000/0.9,0)</f>
        <v>1653</v>
      </c>
      <c r="D44" s="61">
        <f>ROUNDUP(B44*2^0.5*0.93,0)</f>
        <v>908</v>
      </c>
      <c r="E44" s="61">
        <f>ROUNDUP(A44*1000/D44,0)</f>
        <v>1763</v>
      </c>
      <c r="F44" s="62">
        <f>30.8*100*C44/(1000*10)</f>
        <v>509.12400000000002</v>
      </c>
      <c r="G44" s="63">
        <f>C44/(H44*I44)</f>
        <v>1.721875</v>
      </c>
      <c r="H44" s="60">
        <v>240</v>
      </c>
      <c r="I44" s="60">
        <v>4</v>
      </c>
      <c r="J44" s="60">
        <f>L44*0.052</f>
        <v>104</v>
      </c>
      <c r="K44" s="60">
        <v>120</v>
      </c>
      <c r="L44" s="60">
        <v>2000</v>
      </c>
      <c r="M44" s="60" t="s">
        <v>291</v>
      </c>
      <c r="N44" s="60" t="s">
        <v>292</v>
      </c>
      <c r="O44" s="64">
        <f>SUM(C44*1.25)</f>
        <v>2066.25</v>
      </c>
      <c r="P44" s="65" t="s">
        <v>276</v>
      </c>
    </row>
    <row r="45" spans="1:16" ht="16.5" x14ac:dyDescent="0.3">
      <c r="A45" s="59">
        <v>2000</v>
      </c>
      <c r="B45" s="60">
        <v>460</v>
      </c>
      <c r="C45" s="61">
        <f t="shared" si="6"/>
        <v>3100</v>
      </c>
      <c r="D45" s="61">
        <f t="shared" si="0"/>
        <v>606</v>
      </c>
      <c r="E45" s="61">
        <f t="shared" si="1"/>
        <v>3301</v>
      </c>
      <c r="F45" s="62">
        <f t="shared" si="2"/>
        <v>954.8</v>
      </c>
      <c r="G45" s="63">
        <f t="shared" si="3"/>
        <v>1.2916666666666667</v>
      </c>
      <c r="H45" s="60">
        <v>400</v>
      </c>
      <c r="I45" s="60">
        <v>6</v>
      </c>
      <c r="J45" s="60">
        <f t="shared" si="4"/>
        <v>166.4</v>
      </c>
      <c r="K45" s="60">
        <v>185</v>
      </c>
      <c r="L45" s="60">
        <v>3200</v>
      </c>
      <c r="M45" s="60" t="s">
        <v>293</v>
      </c>
      <c r="N45" s="60" t="s">
        <v>294</v>
      </c>
      <c r="O45" s="64">
        <f t="shared" si="5"/>
        <v>3875</v>
      </c>
      <c r="P45" s="65" t="s">
        <v>276</v>
      </c>
    </row>
    <row r="46" spans="1:16" ht="16.5" x14ac:dyDescent="0.3">
      <c r="A46" s="59">
        <v>2000</v>
      </c>
      <c r="B46" s="60">
        <v>650</v>
      </c>
      <c r="C46" s="61">
        <f t="shared" si="6"/>
        <v>2194</v>
      </c>
      <c r="D46" s="61">
        <f t="shared" si="0"/>
        <v>855</v>
      </c>
      <c r="E46" s="61">
        <f t="shared" si="1"/>
        <v>2340</v>
      </c>
      <c r="F46" s="62">
        <f t="shared" si="2"/>
        <v>675.75199999999995</v>
      </c>
      <c r="G46" s="63">
        <f t="shared" si="3"/>
        <v>1.4626666666666666</v>
      </c>
      <c r="H46" s="60">
        <v>300</v>
      </c>
      <c r="I46" s="60">
        <v>5</v>
      </c>
      <c r="J46" s="60">
        <f t="shared" si="4"/>
        <v>130</v>
      </c>
      <c r="K46" s="60">
        <v>150</v>
      </c>
      <c r="L46" s="60">
        <v>2500</v>
      </c>
      <c r="M46" s="60" t="s">
        <v>295</v>
      </c>
      <c r="N46" s="60" t="s">
        <v>296</v>
      </c>
      <c r="O46" s="64">
        <f t="shared" si="5"/>
        <v>2742.5</v>
      </c>
      <c r="P46" s="65" t="s">
        <v>276</v>
      </c>
    </row>
    <row r="47" spans="1:16" ht="16.5" x14ac:dyDescent="0.3">
      <c r="A47" s="59">
        <v>2500</v>
      </c>
      <c r="B47" s="60">
        <v>460</v>
      </c>
      <c r="C47" s="61">
        <f t="shared" si="6"/>
        <v>3874</v>
      </c>
      <c r="D47" s="61">
        <f t="shared" si="0"/>
        <v>606</v>
      </c>
      <c r="E47" s="61">
        <f t="shared" si="1"/>
        <v>4126</v>
      </c>
      <c r="F47" s="62">
        <f t="shared" si="2"/>
        <v>1193.192</v>
      </c>
      <c r="G47" s="63">
        <f t="shared" si="3"/>
        <v>1.6141666666666667</v>
      </c>
      <c r="H47" s="60">
        <v>400</v>
      </c>
      <c r="I47" s="60">
        <v>6</v>
      </c>
      <c r="J47" s="60">
        <f t="shared" si="4"/>
        <v>208</v>
      </c>
      <c r="K47" s="60">
        <v>240</v>
      </c>
      <c r="L47" s="60">
        <v>4000</v>
      </c>
      <c r="M47" s="60" t="s">
        <v>297</v>
      </c>
      <c r="N47" s="60" t="s">
        <v>298</v>
      </c>
      <c r="O47" s="64">
        <f t="shared" si="5"/>
        <v>4842.5</v>
      </c>
      <c r="P47" s="65" t="s">
        <v>281</v>
      </c>
    </row>
    <row r="48" spans="1:16" ht="16.5" x14ac:dyDescent="0.3">
      <c r="A48" s="66">
        <v>2500</v>
      </c>
      <c r="B48" s="60">
        <v>650</v>
      </c>
      <c r="C48" s="61">
        <f t="shared" si="6"/>
        <v>2742</v>
      </c>
      <c r="D48" s="61">
        <f t="shared" si="0"/>
        <v>855</v>
      </c>
      <c r="E48" s="61">
        <f t="shared" si="1"/>
        <v>2924</v>
      </c>
      <c r="F48" s="67"/>
      <c r="G48" s="63">
        <f t="shared" si="3"/>
        <v>1.1425000000000001</v>
      </c>
      <c r="H48" s="60">
        <v>400</v>
      </c>
      <c r="I48" s="60">
        <v>6</v>
      </c>
      <c r="J48" s="60">
        <f t="shared" si="4"/>
        <v>166.4</v>
      </c>
      <c r="K48" s="60">
        <v>185</v>
      </c>
      <c r="L48" s="60">
        <v>3200</v>
      </c>
      <c r="M48" s="60" t="s">
        <v>293</v>
      </c>
      <c r="N48" s="60" t="s">
        <v>294</v>
      </c>
      <c r="O48" s="64">
        <f t="shared" si="5"/>
        <v>3427.5</v>
      </c>
      <c r="P48" s="65" t="s">
        <v>278</v>
      </c>
    </row>
    <row r="49" spans="1:16" ht="16.5" x14ac:dyDescent="0.3">
      <c r="A49" s="66">
        <v>3000</v>
      </c>
      <c r="B49" s="68">
        <v>460</v>
      </c>
      <c r="C49" s="69">
        <f>ROUNDUP(A49/(B49*0.9)/3^0.5*1000/0.9,0)</f>
        <v>4649</v>
      </c>
      <c r="D49" s="69">
        <f t="shared" si="0"/>
        <v>606</v>
      </c>
      <c r="E49" s="69">
        <f t="shared" si="1"/>
        <v>4951</v>
      </c>
      <c r="F49" s="67">
        <f>30.8*100*C49/(1000*10)</f>
        <v>1431.8920000000001</v>
      </c>
      <c r="G49" s="70">
        <f t="shared" si="3"/>
        <v>1.5496666666666667</v>
      </c>
      <c r="H49" s="68">
        <v>500</v>
      </c>
      <c r="I49" s="68">
        <v>6</v>
      </c>
      <c r="J49" s="68">
        <f t="shared" si="4"/>
        <v>208</v>
      </c>
      <c r="K49" s="68">
        <v>240</v>
      </c>
      <c r="L49" s="68">
        <v>4000</v>
      </c>
      <c r="M49" s="68" t="s">
        <v>297</v>
      </c>
      <c r="N49" s="68" t="s">
        <v>299</v>
      </c>
      <c r="O49" s="71">
        <f t="shared" si="5"/>
        <v>5811.25</v>
      </c>
      <c r="P49" s="72" t="s">
        <v>276</v>
      </c>
    </row>
    <row r="50" spans="1:16" ht="17.25" thickBot="1" x14ac:dyDescent="0.35">
      <c r="A50" s="73">
        <v>3000</v>
      </c>
      <c r="B50" s="74">
        <v>650</v>
      </c>
      <c r="C50" s="75">
        <f t="shared" si="6"/>
        <v>3290</v>
      </c>
      <c r="D50" s="75">
        <f t="shared" si="0"/>
        <v>855</v>
      </c>
      <c r="E50" s="75">
        <f t="shared" si="1"/>
        <v>3509</v>
      </c>
      <c r="F50" s="76">
        <f t="shared" si="2"/>
        <v>1013.32</v>
      </c>
      <c r="G50" s="77">
        <f t="shared" si="3"/>
        <v>1.3708333333333333</v>
      </c>
      <c r="H50" s="74">
        <v>400</v>
      </c>
      <c r="I50" s="74">
        <v>6</v>
      </c>
      <c r="J50" s="74">
        <f t="shared" si="4"/>
        <v>166.4</v>
      </c>
      <c r="K50" s="74">
        <v>185</v>
      </c>
      <c r="L50" s="74">
        <v>3200</v>
      </c>
      <c r="M50" s="74" t="s">
        <v>293</v>
      </c>
      <c r="N50" s="74" t="s">
        <v>294</v>
      </c>
      <c r="O50" s="78">
        <f t="shared" si="5"/>
        <v>4112.5</v>
      </c>
      <c r="P50" s="79" t="s">
        <v>276</v>
      </c>
    </row>
  </sheetData>
  <mergeCells count="16">
    <mergeCell ref="F2:F3"/>
    <mergeCell ref="A2:A3"/>
    <mergeCell ref="B2:B3"/>
    <mergeCell ref="C2:C3"/>
    <mergeCell ref="D2:D3"/>
    <mergeCell ref="E2:E3"/>
    <mergeCell ref="M2:M3"/>
    <mergeCell ref="N2:N3"/>
    <mergeCell ref="O2:O3"/>
    <mergeCell ref="P2:P3"/>
    <mergeCell ref="G2:G3"/>
    <mergeCell ref="H2:H3"/>
    <mergeCell ref="I2:I3"/>
    <mergeCell ref="J2:J3"/>
    <mergeCell ref="K2:K3"/>
    <mergeCell ref="L2:L3"/>
  </mergeCells>
  <phoneticPr fontId="1" type="noConversion"/>
  <pageMargins left="0.7" right="0.7" top="0.75" bottom="0.75" header="0.3" footer="0.3"/>
  <pageSetup paperSize="9" orientation="portrait" horizontalDpi="4294967293" verticalDpi="4294967293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88"/>
  <sheetViews>
    <sheetView topLeftCell="B1" workbookViewId="0">
      <selection activeCell="G10" sqref="G10"/>
    </sheetView>
  </sheetViews>
  <sheetFormatPr defaultRowHeight="16.5" x14ac:dyDescent="0.3"/>
  <cols>
    <col min="2" max="2" width="22.75" bestFit="1" customWidth="1"/>
    <col min="6" max="6" width="25.125" bestFit="1" customWidth="1"/>
    <col min="10" max="10" width="20" bestFit="1" customWidth="1"/>
    <col min="11" max="11" width="11.875" bestFit="1" customWidth="1"/>
    <col min="14" max="14" width="38.875" bestFit="1" customWidth="1"/>
    <col min="15" max="15" width="14.625" bestFit="1" customWidth="1"/>
  </cols>
  <sheetData>
    <row r="2" spans="2:16" x14ac:dyDescent="0.3">
      <c r="B2" s="344" t="s">
        <v>300</v>
      </c>
      <c r="C2" s="344"/>
      <c r="D2" s="344"/>
      <c r="E2" s="80"/>
      <c r="F2" s="342" t="s">
        <v>301</v>
      </c>
      <c r="G2" s="342"/>
      <c r="H2" s="342"/>
      <c r="I2" s="80"/>
      <c r="J2" s="342" t="s">
        <v>302</v>
      </c>
      <c r="K2" s="342"/>
      <c r="L2" s="342"/>
      <c r="M2" s="80"/>
      <c r="N2" s="344" t="s">
        <v>303</v>
      </c>
      <c r="O2" s="344"/>
      <c r="P2" s="344"/>
    </row>
    <row r="3" spans="2:16" x14ac:dyDescent="0.3">
      <c r="B3" s="81" t="s">
        <v>304</v>
      </c>
      <c r="C3" s="82">
        <v>3</v>
      </c>
      <c r="D3" s="81" t="s">
        <v>306</v>
      </c>
      <c r="E3" s="80"/>
      <c r="F3" s="81" t="s">
        <v>307</v>
      </c>
      <c r="G3" s="82">
        <v>521</v>
      </c>
      <c r="H3" s="81" t="s">
        <v>309</v>
      </c>
      <c r="I3" s="80"/>
      <c r="J3" s="81" t="s">
        <v>310</v>
      </c>
      <c r="K3" s="83" t="s">
        <v>311</v>
      </c>
      <c r="L3" s="83"/>
      <c r="M3" s="80"/>
      <c r="N3" s="84" t="s">
        <v>312</v>
      </c>
      <c r="O3" s="82">
        <v>160</v>
      </c>
      <c r="P3" s="84" t="s">
        <v>314</v>
      </c>
    </row>
    <row r="4" spans="2:16" x14ac:dyDescent="0.3">
      <c r="B4" s="81" t="s">
        <v>315</v>
      </c>
      <c r="C4" s="82">
        <v>220</v>
      </c>
      <c r="D4" s="81" t="s">
        <v>316</v>
      </c>
      <c r="E4" s="80"/>
      <c r="F4" s="81" t="s">
        <v>317</v>
      </c>
      <c r="G4" s="82">
        <v>0.25</v>
      </c>
      <c r="H4" s="81" t="s">
        <v>319</v>
      </c>
      <c r="I4" s="80"/>
      <c r="J4" s="85" t="s">
        <v>320</v>
      </c>
      <c r="K4" s="86">
        <v>1.75</v>
      </c>
      <c r="L4" s="85" t="s">
        <v>322</v>
      </c>
      <c r="M4" s="80"/>
      <c r="N4" s="84" t="s">
        <v>324</v>
      </c>
      <c r="O4" s="82">
        <v>7200</v>
      </c>
      <c r="P4" s="84" t="s">
        <v>326</v>
      </c>
    </row>
    <row r="5" spans="2:16" x14ac:dyDescent="0.3">
      <c r="B5" s="81" t="s">
        <v>327</v>
      </c>
      <c r="C5" s="82">
        <v>200</v>
      </c>
      <c r="D5" s="81" t="s">
        <v>328</v>
      </c>
      <c r="E5" s="80"/>
      <c r="F5" s="81" t="s">
        <v>329</v>
      </c>
      <c r="G5" s="82">
        <v>3.59</v>
      </c>
      <c r="H5" s="81" t="s">
        <v>330</v>
      </c>
      <c r="I5" s="80"/>
      <c r="J5" s="85" t="s">
        <v>332</v>
      </c>
      <c r="K5" s="87">
        <v>3.8999999999999998E-3</v>
      </c>
      <c r="L5" s="85" t="s">
        <v>334</v>
      </c>
      <c r="M5" s="80"/>
      <c r="N5" s="84" t="s">
        <v>335</v>
      </c>
      <c r="O5" s="82">
        <v>12800</v>
      </c>
      <c r="P5" s="84" t="s">
        <v>337</v>
      </c>
    </row>
    <row r="6" spans="2:16" x14ac:dyDescent="0.3">
      <c r="B6" s="81" t="s">
        <v>338</v>
      </c>
      <c r="C6" s="88">
        <f>(C4*C3)*(C4*C3)/(101.6*(4.5*C4+10*C5))</f>
        <v>1.4339135701682775</v>
      </c>
      <c r="D6" s="81" t="s">
        <v>314</v>
      </c>
      <c r="E6" s="80"/>
      <c r="F6" s="81" t="s">
        <v>339</v>
      </c>
      <c r="G6" s="82">
        <v>125000</v>
      </c>
      <c r="H6" s="81" t="s">
        <v>341</v>
      </c>
      <c r="I6" s="80"/>
      <c r="J6" s="85" t="s">
        <v>343</v>
      </c>
      <c r="K6" s="89">
        <v>45</v>
      </c>
      <c r="L6" s="85" t="s">
        <v>344</v>
      </c>
      <c r="M6" s="80"/>
      <c r="N6" s="84" t="s">
        <v>345</v>
      </c>
      <c r="O6" s="82">
        <v>645</v>
      </c>
      <c r="P6" s="84" t="s">
        <v>309</v>
      </c>
    </row>
    <row r="7" spans="2:16" x14ac:dyDescent="0.3">
      <c r="B7" s="81" t="s">
        <v>346</v>
      </c>
      <c r="C7" s="82">
        <v>100</v>
      </c>
      <c r="D7" s="81" t="s">
        <v>348</v>
      </c>
      <c r="E7" s="80"/>
      <c r="F7" s="81" t="s">
        <v>349</v>
      </c>
      <c r="G7" s="90">
        <f>(5000*G3)/(G4*G5*G6)</f>
        <v>23.220055710306408</v>
      </c>
      <c r="H7" s="81" t="s">
        <v>350</v>
      </c>
      <c r="I7" s="80"/>
      <c r="J7" s="85" t="s">
        <v>352</v>
      </c>
      <c r="K7" s="87">
        <f>K4*(1+K5*(K6-20))</f>
        <v>1.9206249999999998</v>
      </c>
      <c r="L7" s="85" t="s">
        <v>322</v>
      </c>
      <c r="M7" s="80"/>
      <c r="N7" s="84" t="s">
        <v>353</v>
      </c>
      <c r="O7" s="90">
        <f>SQRT(O6^2+O3*O4^2/O5)</f>
        <v>1031.5158748172516</v>
      </c>
      <c r="P7" s="84" t="s">
        <v>309</v>
      </c>
    </row>
    <row r="8" spans="2:16" x14ac:dyDescent="0.3">
      <c r="B8" s="81" t="s">
        <v>354</v>
      </c>
      <c r="C8" s="88">
        <f>C6*C7/100</f>
        <v>1.4339135701682775</v>
      </c>
      <c r="D8" s="81" t="s">
        <v>314</v>
      </c>
      <c r="E8" s="80"/>
      <c r="F8" s="80"/>
      <c r="G8" s="80"/>
      <c r="H8" s="80"/>
      <c r="I8" s="80"/>
      <c r="J8" s="85" t="s">
        <v>355</v>
      </c>
      <c r="K8" s="91">
        <f>1/(K7/100000000)</f>
        <v>52066384.64041654</v>
      </c>
      <c r="L8" s="85" t="s">
        <v>356</v>
      </c>
      <c r="M8" s="80"/>
      <c r="N8" s="80"/>
      <c r="O8" s="80"/>
      <c r="P8" s="80"/>
    </row>
    <row r="9" spans="2:16" x14ac:dyDescent="0.3">
      <c r="B9" s="84" t="s">
        <v>357</v>
      </c>
      <c r="C9" s="82">
        <v>0.01</v>
      </c>
      <c r="D9" s="81" t="s">
        <v>314</v>
      </c>
      <c r="E9" s="80"/>
      <c r="F9" s="342" t="s">
        <v>358</v>
      </c>
      <c r="G9" s="342"/>
      <c r="H9" s="342"/>
      <c r="I9" s="80"/>
      <c r="J9" s="85" t="s">
        <v>360</v>
      </c>
      <c r="K9" s="83">
        <v>1</v>
      </c>
      <c r="L9" s="85" t="s">
        <v>361</v>
      </c>
      <c r="M9" s="80"/>
      <c r="N9" s="344" t="s">
        <v>362</v>
      </c>
      <c r="O9" s="344"/>
      <c r="P9" s="344"/>
    </row>
    <row r="10" spans="2:16" x14ac:dyDescent="0.3">
      <c r="B10" s="84" t="s">
        <v>363</v>
      </c>
      <c r="C10" s="82">
        <v>1</v>
      </c>
      <c r="D10" s="81" t="s">
        <v>364</v>
      </c>
      <c r="E10" s="80"/>
      <c r="F10" s="81" t="s">
        <v>365</v>
      </c>
      <c r="G10" s="82">
        <v>6.1199999999999997E-2</v>
      </c>
      <c r="H10" s="81" t="s">
        <v>336</v>
      </c>
      <c r="I10" s="80"/>
      <c r="J10" s="85" t="s">
        <v>367</v>
      </c>
      <c r="K10" s="92">
        <v>1000</v>
      </c>
      <c r="L10" s="85" t="s">
        <v>369</v>
      </c>
      <c r="M10" s="80"/>
      <c r="N10" s="81" t="s">
        <v>335</v>
      </c>
      <c r="O10" s="82">
        <v>9284</v>
      </c>
      <c r="P10" s="81" t="s">
        <v>337</v>
      </c>
    </row>
    <row r="11" spans="2:16" x14ac:dyDescent="0.3">
      <c r="B11" s="84" t="s">
        <v>370</v>
      </c>
      <c r="C11" s="82">
        <v>1</v>
      </c>
      <c r="D11" s="81" t="s">
        <v>371</v>
      </c>
      <c r="E11" s="80"/>
      <c r="F11" s="81" t="s">
        <v>372</v>
      </c>
      <c r="G11" s="82">
        <v>318</v>
      </c>
      <c r="H11" s="81" t="s">
        <v>314</v>
      </c>
      <c r="I11" s="80"/>
      <c r="J11" s="85" t="s">
        <v>374</v>
      </c>
      <c r="K11" s="93">
        <f>503.3*SQRT((K7/100000000)/(K9*K10))*1000</f>
        <v>2.205709020034714</v>
      </c>
      <c r="L11" s="85" t="s">
        <v>375</v>
      </c>
      <c r="M11" s="80"/>
      <c r="N11" s="81" t="s">
        <v>376</v>
      </c>
      <c r="O11" s="82">
        <v>675</v>
      </c>
      <c r="P11" s="81" t="s">
        <v>309</v>
      </c>
    </row>
    <row r="12" spans="2:16" x14ac:dyDescent="0.3">
      <c r="B12" s="84" t="s">
        <v>377</v>
      </c>
      <c r="C12" s="94">
        <v>1</v>
      </c>
      <c r="D12" s="81" t="s">
        <v>378</v>
      </c>
      <c r="E12" s="80"/>
      <c r="F12" s="81" t="s">
        <v>379</v>
      </c>
      <c r="G12" s="90">
        <f>1/(2*3.14*SQRT((G10/1000000)*(G11/1000000)))</f>
        <v>36095.335694183865</v>
      </c>
      <c r="H12" s="81" t="s">
        <v>381</v>
      </c>
      <c r="I12" s="80"/>
      <c r="J12" s="85" t="s">
        <v>383</v>
      </c>
      <c r="K12" s="95">
        <v>6126</v>
      </c>
      <c r="L12" s="85" t="s">
        <v>375</v>
      </c>
      <c r="M12" s="80"/>
      <c r="N12" s="81" t="s">
        <v>323</v>
      </c>
      <c r="O12" s="82">
        <v>4300</v>
      </c>
      <c r="P12" s="81" t="s">
        <v>326</v>
      </c>
    </row>
    <row r="13" spans="2:16" x14ac:dyDescent="0.3">
      <c r="B13" s="84" t="s">
        <v>384</v>
      </c>
      <c r="C13" s="96">
        <f>C8/C11*C12*C10^2+C9</f>
        <v>1.4439135701682775</v>
      </c>
      <c r="D13" s="81" t="s">
        <v>314</v>
      </c>
      <c r="E13" s="80"/>
      <c r="F13" s="80"/>
      <c r="G13" s="80"/>
      <c r="H13" s="80"/>
      <c r="I13" s="80"/>
      <c r="J13" s="85" t="s">
        <v>385</v>
      </c>
      <c r="K13" s="95">
        <v>2</v>
      </c>
      <c r="L13" s="85" t="s">
        <v>375</v>
      </c>
      <c r="M13" s="80"/>
      <c r="N13" s="81" t="s">
        <v>386</v>
      </c>
      <c r="O13" s="82">
        <v>800</v>
      </c>
      <c r="P13" s="81" t="s">
        <v>341</v>
      </c>
    </row>
    <row r="14" spans="2:16" x14ac:dyDescent="0.3">
      <c r="B14" s="80"/>
      <c r="C14" s="80"/>
      <c r="D14" s="80"/>
      <c r="E14" s="80"/>
      <c r="F14" s="342" t="s">
        <v>387</v>
      </c>
      <c r="G14" s="342"/>
      <c r="H14" s="342"/>
      <c r="I14" s="80"/>
      <c r="J14" s="85" t="s">
        <v>389</v>
      </c>
      <c r="K14" s="97">
        <f>MIN(K11,K13)</f>
        <v>2</v>
      </c>
      <c r="L14" s="85" t="s">
        <v>375</v>
      </c>
      <c r="M14" s="80"/>
      <c r="N14" s="81" t="s">
        <v>390</v>
      </c>
      <c r="O14" s="88">
        <f>(1.414*O12*0.421)/(2*3.14159*O13*O11*2*O10*0.000001)*2*100</f>
        <v>8.1262759844751162</v>
      </c>
      <c r="P14" s="81" t="s">
        <v>348</v>
      </c>
    </row>
    <row r="15" spans="2:16" x14ac:dyDescent="0.3">
      <c r="B15" s="344" t="s">
        <v>391</v>
      </c>
      <c r="C15" s="344"/>
      <c r="D15" s="344"/>
      <c r="E15" s="80"/>
      <c r="F15" s="81" t="s">
        <v>392</v>
      </c>
      <c r="G15" s="82">
        <v>4.1599999999999998E-2</v>
      </c>
      <c r="H15" s="81" t="s">
        <v>393</v>
      </c>
      <c r="I15" s="80"/>
      <c r="J15" s="85" t="s">
        <v>395</v>
      </c>
      <c r="K15" s="95">
        <v>60</v>
      </c>
      <c r="L15" s="85" t="s">
        <v>375</v>
      </c>
      <c r="M15" s="80"/>
      <c r="N15" s="81" t="s">
        <v>396</v>
      </c>
      <c r="O15" s="90">
        <f>O11*O14/100</f>
        <v>54.852362895207037</v>
      </c>
      <c r="P15" s="81" t="s">
        <v>309</v>
      </c>
    </row>
    <row r="16" spans="2:16" x14ac:dyDescent="0.3">
      <c r="B16" s="98" t="s">
        <v>397</v>
      </c>
      <c r="C16" s="99">
        <v>21</v>
      </c>
      <c r="D16" s="98" t="s">
        <v>337</v>
      </c>
      <c r="E16" s="80"/>
      <c r="F16" s="81" t="s">
        <v>398</v>
      </c>
      <c r="G16" s="82">
        <v>58</v>
      </c>
      <c r="H16" s="81" t="s">
        <v>400</v>
      </c>
      <c r="I16" s="80"/>
      <c r="J16" s="85" t="s">
        <v>402</v>
      </c>
      <c r="K16" s="97">
        <f>K14*K15</f>
        <v>120</v>
      </c>
      <c r="L16" s="85" t="s">
        <v>403</v>
      </c>
      <c r="M16" s="80"/>
      <c r="N16" s="81" t="s">
        <v>404</v>
      </c>
      <c r="O16" s="90">
        <f>2*3.14159*O13*O10*0.000001*O15</f>
        <v>2559.7641999999996</v>
      </c>
      <c r="P16" s="81" t="s">
        <v>326</v>
      </c>
    </row>
    <row r="17" spans="2:16" x14ac:dyDescent="0.3">
      <c r="B17" s="98" t="s">
        <v>405</v>
      </c>
      <c r="C17" s="99">
        <v>1</v>
      </c>
      <c r="D17" s="98" t="s">
        <v>406</v>
      </c>
      <c r="E17" s="80"/>
      <c r="F17" s="81" t="s">
        <v>407</v>
      </c>
      <c r="G17" s="82">
        <v>8.3000000000000007</v>
      </c>
      <c r="H17" s="81" t="s">
        <v>326</v>
      </c>
      <c r="I17" s="80"/>
      <c r="J17" s="85" t="s">
        <v>409</v>
      </c>
      <c r="K17" s="95">
        <v>850</v>
      </c>
      <c r="L17" s="100" t="s">
        <v>411</v>
      </c>
      <c r="M17" s="80"/>
      <c r="N17" s="80"/>
      <c r="O17" s="80"/>
      <c r="P17" s="80"/>
    </row>
    <row r="18" spans="2:16" x14ac:dyDescent="0.3">
      <c r="B18" s="98" t="s">
        <v>412</v>
      </c>
      <c r="C18" s="99">
        <v>500</v>
      </c>
      <c r="D18" s="98" t="s">
        <v>309</v>
      </c>
      <c r="E18" s="80"/>
      <c r="F18" s="81" t="s">
        <v>413</v>
      </c>
      <c r="G18" s="90">
        <f>(G17)/(2*3.14*G16*1000*(G15/1000000))</f>
        <v>547.76858875804635</v>
      </c>
      <c r="H18" s="81" t="s">
        <v>309</v>
      </c>
      <c r="I18" s="80"/>
      <c r="J18" s="85" t="s">
        <v>414</v>
      </c>
      <c r="K18" s="101">
        <f>K17/K16</f>
        <v>7.083333333333333</v>
      </c>
      <c r="L18" s="100" t="s">
        <v>411</v>
      </c>
      <c r="M18" s="80"/>
      <c r="N18" s="344" t="s">
        <v>415</v>
      </c>
      <c r="O18" s="344"/>
      <c r="P18" s="344"/>
    </row>
    <row r="19" spans="2:16" x14ac:dyDescent="0.3">
      <c r="B19" s="98" t="s">
        <v>416</v>
      </c>
      <c r="C19" s="99">
        <v>1000</v>
      </c>
      <c r="D19" s="98" t="s">
        <v>325</v>
      </c>
      <c r="E19" s="80"/>
      <c r="F19" s="80"/>
      <c r="G19" s="80"/>
      <c r="H19" s="80"/>
      <c r="I19" s="80"/>
      <c r="J19" s="85" t="s">
        <v>417</v>
      </c>
      <c r="K19" s="101">
        <f>K7/100000000*(K17^2)/(K16/1000000)*K12/1000</f>
        <v>708.39612265624987</v>
      </c>
      <c r="L19" s="100" t="s">
        <v>419</v>
      </c>
      <c r="M19" s="80"/>
      <c r="N19" s="102" t="s">
        <v>420</v>
      </c>
      <c r="O19" s="103">
        <v>0.9133</v>
      </c>
      <c r="P19" s="103" t="s">
        <v>421</v>
      </c>
    </row>
    <row r="20" spans="2:16" x14ac:dyDescent="0.3">
      <c r="B20" s="98" t="s">
        <v>422</v>
      </c>
      <c r="C20" s="99">
        <v>1</v>
      </c>
      <c r="D20" s="98" t="s">
        <v>406</v>
      </c>
      <c r="E20" s="80"/>
      <c r="F20" s="342" t="s">
        <v>423</v>
      </c>
      <c r="G20" s="342"/>
      <c r="H20" s="342"/>
      <c r="I20" s="80"/>
      <c r="J20" s="80"/>
      <c r="K20" s="80"/>
      <c r="L20" s="80"/>
      <c r="M20" s="80"/>
      <c r="N20" s="98" t="s">
        <v>424</v>
      </c>
      <c r="O20" s="104">
        <v>3</v>
      </c>
      <c r="P20" s="103" t="s">
        <v>426</v>
      </c>
    </row>
    <row r="21" spans="2:16" x14ac:dyDescent="0.3">
      <c r="B21" s="98" t="s">
        <v>427</v>
      </c>
      <c r="C21" s="99">
        <v>2</v>
      </c>
      <c r="D21" s="98" t="s">
        <v>378</v>
      </c>
      <c r="E21" s="80"/>
      <c r="F21" s="84" t="s">
        <v>428</v>
      </c>
      <c r="G21" s="82">
        <v>500</v>
      </c>
      <c r="H21" s="81" t="s">
        <v>429</v>
      </c>
      <c r="I21" s="80"/>
      <c r="J21" s="342" t="s">
        <v>430</v>
      </c>
      <c r="K21" s="342"/>
      <c r="L21" s="342"/>
      <c r="M21" s="80"/>
      <c r="N21" s="98" t="s">
        <v>431</v>
      </c>
      <c r="O21" s="105">
        <f>O19*O20</f>
        <v>2.7399</v>
      </c>
      <c r="P21" s="103" t="s">
        <v>421</v>
      </c>
    </row>
    <row r="22" spans="2:16" x14ac:dyDescent="0.3">
      <c r="B22" s="98" t="s">
        <v>432</v>
      </c>
      <c r="C22" s="99">
        <v>2</v>
      </c>
      <c r="D22" s="98" t="s">
        <v>371</v>
      </c>
      <c r="E22" s="80"/>
      <c r="F22" s="84" t="s">
        <v>433</v>
      </c>
      <c r="G22" s="82">
        <v>2.2000000000000002</v>
      </c>
      <c r="H22" s="81" t="s">
        <v>434</v>
      </c>
      <c r="I22" s="80"/>
      <c r="J22" s="81" t="s">
        <v>310</v>
      </c>
      <c r="K22" s="83" t="s">
        <v>311</v>
      </c>
      <c r="L22" s="83"/>
      <c r="M22" s="80"/>
      <c r="N22" s="98"/>
      <c r="O22" s="103"/>
      <c r="P22" s="103"/>
    </row>
    <row r="23" spans="2:16" x14ac:dyDescent="0.3">
      <c r="B23" s="98" t="s">
        <v>435</v>
      </c>
      <c r="C23" s="106">
        <f>C16*(C20/C17)*C22/C21</f>
        <v>21</v>
      </c>
      <c r="D23" s="98" t="s">
        <v>337</v>
      </c>
      <c r="E23" s="80"/>
      <c r="F23" s="84" t="s">
        <v>436</v>
      </c>
      <c r="G23" s="82">
        <v>22</v>
      </c>
      <c r="H23" s="81" t="s">
        <v>437</v>
      </c>
      <c r="I23" s="80"/>
      <c r="J23" s="85" t="s">
        <v>320</v>
      </c>
      <c r="K23" s="86">
        <v>1.75</v>
      </c>
      <c r="L23" s="85" t="s">
        <v>322</v>
      </c>
      <c r="M23" s="80"/>
      <c r="N23" s="102" t="s">
        <v>438</v>
      </c>
      <c r="O23" s="103">
        <v>0.48</v>
      </c>
      <c r="P23" s="103" t="s">
        <v>421</v>
      </c>
    </row>
    <row r="24" spans="2:16" x14ac:dyDescent="0.3">
      <c r="B24" s="98" t="s">
        <v>439</v>
      </c>
      <c r="C24" s="107">
        <f>C18*C21</f>
        <v>1000</v>
      </c>
      <c r="D24" s="98" t="s">
        <v>309</v>
      </c>
      <c r="E24" s="80"/>
      <c r="F24" s="84" t="s">
        <v>440</v>
      </c>
      <c r="G24" s="82">
        <v>4</v>
      </c>
      <c r="H24" s="81"/>
      <c r="I24" s="80"/>
      <c r="J24" s="85" t="s">
        <v>332</v>
      </c>
      <c r="K24" s="87">
        <v>3.8999999999999998E-3</v>
      </c>
      <c r="L24" s="85" t="s">
        <v>333</v>
      </c>
      <c r="M24" s="80"/>
      <c r="N24" s="98" t="s">
        <v>441</v>
      </c>
      <c r="O24" s="104">
        <v>5</v>
      </c>
      <c r="P24" s="103" t="s">
        <v>425</v>
      </c>
    </row>
    <row r="25" spans="2:16" x14ac:dyDescent="0.3">
      <c r="B25" s="98" t="s">
        <v>442</v>
      </c>
      <c r="C25" s="107">
        <f>C19*(C20/C17)*C22</f>
        <v>2000</v>
      </c>
      <c r="D25" s="98" t="s">
        <v>326</v>
      </c>
      <c r="E25" s="80"/>
      <c r="F25" s="84" t="s">
        <v>443</v>
      </c>
      <c r="G25" s="88">
        <f>G22*G23*G24*2</f>
        <v>387.20000000000005</v>
      </c>
      <c r="H25" s="81" t="s">
        <v>434</v>
      </c>
      <c r="I25" s="80"/>
      <c r="J25" s="85" t="s">
        <v>343</v>
      </c>
      <c r="K25" s="89">
        <v>45</v>
      </c>
      <c r="L25" s="85" t="s">
        <v>344</v>
      </c>
      <c r="M25" s="80"/>
      <c r="N25" s="98" t="s">
        <v>444</v>
      </c>
      <c r="O25" s="105">
        <f>O23*O24</f>
        <v>2.4</v>
      </c>
      <c r="P25" s="103" t="s">
        <v>421</v>
      </c>
    </row>
    <row r="26" spans="2:16" x14ac:dyDescent="0.3">
      <c r="B26" s="98" t="s">
        <v>446</v>
      </c>
      <c r="C26" s="107">
        <f>C24*C25/1000</f>
        <v>2000</v>
      </c>
      <c r="D26" s="98" t="s">
        <v>445</v>
      </c>
      <c r="E26" s="80"/>
      <c r="F26" s="84" t="s">
        <v>447</v>
      </c>
      <c r="G26" s="82">
        <v>1.5</v>
      </c>
      <c r="H26" s="81" t="s">
        <v>448</v>
      </c>
      <c r="I26" s="80"/>
      <c r="J26" s="85" t="s">
        <v>352</v>
      </c>
      <c r="K26" s="87">
        <f>K23*(1+K24*(K25-20))</f>
        <v>1.9206249999999998</v>
      </c>
      <c r="L26" s="85" t="s">
        <v>321</v>
      </c>
      <c r="M26" s="80"/>
      <c r="N26" s="98"/>
      <c r="O26" s="103"/>
      <c r="P26" s="103"/>
    </row>
    <row r="27" spans="2:16" x14ac:dyDescent="0.3">
      <c r="B27" s="80"/>
      <c r="C27" s="80"/>
      <c r="D27" s="80"/>
      <c r="E27" s="80"/>
      <c r="F27" s="84" t="s">
        <v>449</v>
      </c>
      <c r="G27" s="82">
        <v>250</v>
      </c>
      <c r="H27" s="81" t="s">
        <v>450</v>
      </c>
      <c r="I27" s="80"/>
      <c r="J27" s="85" t="s">
        <v>355</v>
      </c>
      <c r="K27" s="91">
        <f>1/(K26/100000000)</f>
        <v>52066384.64041654</v>
      </c>
      <c r="L27" s="85" t="s">
        <v>356</v>
      </c>
      <c r="M27" s="80"/>
      <c r="N27" s="102" t="s">
        <v>438</v>
      </c>
      <c r="O27" s="103">
        <v>0.4133</v>
      </c>
      <c r="P27" s="103" t="s">
        <v>421</v>
      </c>
    </row>
    <row r="28" spans="2:16" x14ac:dyDescent="0.3">
      <c r="B28" s="344" t="s">
        <v>451</v>
      </c>
      <c r="C28" s="344"/>
      <c r="D28" s="344"/>
      <c r="E28" s="80"/>
      <c r="F28" s="84" t="s">
        <v>452</v>
      </c>
      <c r="G28" s="82">
        <v>1</v>
      </c>
      <c r="H28" s="81" t="s">
        <v>453</v>
      </c>
      <c r="I28" s="80"/>
      <c r="J28" s="85" t="s">
        <v>360</v>
      </c>
      <c r="K28" s="83">
        <v>1</v>
      </c>
      <c r="L28" s="85" t="s">
        <v>361</v>
      </c>
      <c r="M28" s="80"/>
      <c r="N28" s="98" t="s">
        <v>441</v>
      </c>
      <c r="O28" s="104">
        <v>6</v>
      </c>
      <c r="P28" s="103" t="s">
        <v>425</v>
      </c>
    </row>
    <row r="29" spans="2:16" x14ac:dyDescent="0.3">
      <c r="B29" s="84" t="s">
        <v>367</v>
      </c>
      <c r="C29" s="82">
        <v>19970</v>
      </c>
      <c r="D29" s="84" t="s">
        <v>341</v>
      </c>
      <c r="E29" s="80"/>
      <c r="F29" s="84" t="s">
        <v>454</v>
      </c>
      <c r="G29" s="88">
        <f>G27*G28</f>
        <v>250</v>
      </c>
      <c r="H29" s="81" t="s">
        <v>450</v>
      </c>
      <c r="I29" s="80"/>
      <c r="J29" s="85" t="s">
        <v>366</v>
      </c>
      <c r="K29" s="92">
        <v>3000</v>
      </c>
      <c r="L29" s="85" t="s">
        <v>368</v>
      </c>
      <c r="M29" s="80"/>
      <c r="N29" s="98" t="s">
        <v>444</v>
      </c>
      <c r="O29" s="105">
        <f>O27*O28</f>
        <v>2.4798</v>
      </c>
      <c r="P29" s="103" t="s">
        <v>421</v>
      </c>
    </row>
    <row r="30" spans="2:16" x14ac:dyDescent="0.3">
      <c r="B30" s="84" t="s">
        <v>455</v>
      </c>
      <c r="C30" s="82">
        <v>50</v>
      </c>
      <c r="D30" s="84" t="s">
        <v>336</v>
      </c>
      <c r="E30" s="80"/>
      <c r="F30" s="81"/>
      <c r="G30" s="81"/>
      <c r="H30" s="81"/>
      <c r="I30" s="80"/>
      <c r="J30" s="85" t="s">
        <v>373</v>
      </c>
      <c r="K30" s="93">
        <f>503.3*SQRT((K26/100000000)/(K28*K29))*1000</f>
        <v>1.2734666964710277</v>
      </c>
      <c r="L30" s="85" t="s">
        <v>375</v>
      </c>
      <c r="M30" s="80"/>
      <c r="N30" s="80"/>
      <c r="O30" s="80"/>
      <c r="P30" s="80"/>
    </row>
    <row r="31" spans="2:16" x14ac:dyDescent="0.3">
      <c r="B31" s="84" t="s">
        <v>456</v>
      </c>
      <c r="C31" s="82">
        <v>1864</v>
      </c>
      <c r="D31" s="84" t="s">
        <v>326</v>
      </c>
      <c r="E31" s="80"/>
      <c r="F31" s="108" t="s">
        <v>457</v>
      </c>
      <c r="G31" s="345" t="s">
        <v>458</v>
      </c>
      <c r="H31" s="345"/>
      <c r="I31" s="80"/>
      <c r="J31" s="85" t="s">
        <v>383</v>
      </c>
      <c r="K31" s="95">
        <v>6126</v>
      </c>
      <c r="L31" s="85" t="s">
        <v>375</v>
      </c>
      <c r="M31" s="80"/>
      <c r="N31" s="342" t="s">
        <v>459</v>
      </c>
      <c r="O31" s="342"/>
      <c r="P31" s="342"/>
    </row>
    <row r="32" spans="2:16" x14ac:dyDescent="0.3">
      <c r="B32" s="84" t="s">
        <v>460</v>
      </c>
      <c r="C32" s="82">
        <v>754</v>
      </c>
      <c r="D32" s="84" t="s">
        <v>462</v>
      </c>
      <c r="E32" s="80"/>
      <c r="F32" s="84" t="s">
        <v>463</v>
      </c>
      <c r="G32" s="82">
        <v>30</v>
      </c>
      <c r="H32" s="81" t="s">
        <v>464</v>
      </c>
      <c r="I32" s="80"/>
      <c r="J32" s="85" t="s">
        <v>465</v>
      </c>
      <c r="K32" s="95">
        <v>2</v>
      </c>
      <c r="L32" s="85" t="s">
        <v>375</v>
      </c>
      <c r="M32" s="80"/>
      <c r="N32" s="81" t="s">
        <v>466</v>
      </c>
      <c r="O32" s="82">
        <v>440</v>
      </c>
      <c r="P32" s="81" t="s">
        <v>308</v>
      </c>
    </row>
    <row r="33" spans="2:16" x14ac:dyDescent="0.3">
      <c r="B33" s="84" t="s">
        <v>467</v>
      </c>
      <c r="C33" s="82">
        <v>5</v>
      </c>
      <c r="D33" s="84" t="s">
        <v>364</v>
      </c>
      <c r="E33" s="80"/>
      <c r="F33" s="84" t="s">
        <v>468</v>
      </c>
      <c r="G33" s="109">
        <f>G27*SQRT(2)*SIN(G32*PI()/180)</f>
        <v>176.77669529663686</v>
      </c>
      <c r="H33" s="81" t="s">
        <v>469</v>
      </c>
      <c r="I33" s="80"/>
      <c r="J33" s="85" t="s">
        <v>389</v>
      </c>
      <c r="K33" s="97">
        <f>MIN(K30,K32)</f>
        <v>1.2734666964710277</v>
      </c>
      <c r="L33" s="85" t="s">
        <v>375</v>
      </c>
      <c r="M33" s="80"/>
      <c r="N33" s="81" t="s">
        <v>470</v>
      </c>
      <c r="O33" s="82">
        <v>567</v>
      </c>
      <c r="P33" s="81" t="s">
        <v>326</v>
      </c>
    </row>
    <row r="34" spans="2:16" x14ac:dyDescent="0.3">
      <c r="B34" s="84" t="s">
        <v>471</v>
      </c>
      <c r="C34" s="88">
        <f>(C31*C33)/(2*3.1415*C29*(C30/1000000))</f>
        <v>1485.5962122397345</v>
      </c>
      <c r="D34" s="84" t="s">
        <v>472</v>
      </c>
      <c r="E34" s="80"/>
      <c r="F34" s="84" t="s">
        <v>473</v>
      </c>
      <c r="G34" s="110">
        <f>G21*G25/G33</f>
        <v>1095.1669827017251</v>
      </c>
      <c r="H34" s="81" t="s">
        <v>474</v>
      </c>
      <c r="I34" s="80"/>
      <c r="J34" s="85" t="s">
        <v>475</v>
      </c>
      <c r="K34" s="95">
        <v>22</v>
      </c>
      <c r="L34" s="85" t="s">
        <v>375</v>
      </c>
      <c r="M34" s="80"/>
      <c r="N34" s="81" t="s">
        <v>476</v>
      </c>
      <c r="O34" s="90">
        <f>O32</f>
        <v>440</v>
      </c>
      <c r="P34" s="81" t="s">
        <v>477</v>
      </c>
    </row>
    <row r="35" spans="2:16" x14ac:dyDescent="0.3">
      <c r="B35" s="84" t="s">
        <v>478</v>
      </c>
      <c r="C35" s="88">
        <f>C31*C33</f>
        <v>9320</v>
      </c>
      <c r="D35" s="84"/>
      <c r="E35" s="80"/>
      <c r="F35" s="81"/>
      <c r="G35" s="81"/>
      <c r="H35" s="81"/>
      <c r="I35" s="80"/>
      <c r="J35" s="85" t="s">
        <v>479</v>
      </c>
      <c r="K35" s="97">
        <f>(PI()*(K34/2)^2)-(PI()*(K34/2-K33)^2)</f>
        <v>82.920924046014932</v>
      </c>
      <c r="L35" s="85" t="s">
        <v>403</v>
      </c>
      <c r="M35" s="80"/>
      <c r="N35" s="81" t="s">
        <v>480</v>
      </c>
      <c r="O35" s="90">
        <f>O33*1.25</f>
        <v>708.75</v>
      </c>
      <c r="P35" s="81" t="s">
        <v>481</v>
      </c>
    </row>
    <row r="36" spans="2:16" x14ac:dyDescent="0.3">
      <c r="B36" s="84" t="s">
        <v>446</v>
      </c>
      <c r="C36" s="88">
        <f>C34*C35/1000</f>
        <v>13845.756698074327</v>
      </c>
      <c r="D36" s="84" t="s">
        <v>445</v>
      </c>
      <c r="E36" s="80"/>
      <c r="F36" s="108" t="s">
        <v>482</v>
      </c>
      <c r="G36" s="84"/>
      <c r="H36" s="84"/>
      <c r="I36" s="80"/>
      <c r="J36" s="85" t="s">
        <v>409</v>
      </c>
      <c r="K36" s="95">
        <v>2200</v>
      </c>
      <c r="L36" s="100" t="s">
        <v>411</v>
      </c>
      <c r="M36" s="80"/>
      <c r="N36" s="80"/>
      <c r="O36" s="80"/>
      <c r="P36" s="80"/>
    </row>
    <row r="37" spans="2:16" x14ac:dyDescent="0.3">
      <c r="B37" s="84" t="s">
        <v>18</v>
      </c>
      <c r="C37" s="90">
        <f>C36/C32</f>
        <v>18.363072543865155</v>
      </c>
      <c r="D37" s="84"/>
      <c r="E37" s="80"/>
      <c r="F37" s="84" t="s">
        <v>483</v>
      </c>
      <c r="G37" s="109">
        <f>G21*G25/G26/1000</f>
        <v>129.06666666666669</v>
      </c>
      <c r="H37" s="81" t="s">
        <v>469</v>
      </c>
      <c r="I37" s="80"/>
      <c r="J37" s="85" t="s">
        <v>484</v>
      </c>
      <c r="K37" s="101">
        <f>K36/K35</f>
        <v>26.531301059539135</v>
      </c>
      <c r="L37" s="100" t="s">
        <v>410</v>
      </c>
      <c r="M37" s="80"/>
      <c r="N37" s="342" t="s">
        <v>485</v>
      </c>
      <c r="O37" s="342"/>
      <c r="P37" s="342"/>
    </row>
    <row r="38" spans="2:16" x14ac:dyDescent="0.3">
      <c r="B38" s="80"/>
      <c r="C38" s="80"/>
      <c r="D38" s="80"/>
      <c r="E38" s="80"/>
      <c r="F38" s="84" t="s">
        <v>486</v>
      </c>
      <c r="G38" s="109">
        <f>G37/SIN(G32*PI()/180)/SQRT(2)</f>
        <v>182.52783045028752</v>
      </c>
      <c r="H38" s="81" t="s">
        <v>450</v>
      </c>
      <c r="I38" s="80"/>
      <c r="J38" s="85" t="s">
        <v>417</v>
      </c>
      <c r="K38" s="101">
        <f>K26/100000000*(K36^2)/(K35/1000000)*K31/1000</f>
        <v>6867.5336900972161</v>
      </c>
      <c r="L38" s="100" t="s">
        <v>418</v>
      </c>
      <c r="M38" s="80"/>
      <c r="N38" s="81" t="s">
        <v>365</v>
      </c>
      <c r="O38" s="82">
        <v>0.42299999999999999</v>
      </c>
      <c r="P38" s="81" t="s">
        <v>336</v>
      </c>
    </row>
    <row r="39" spans="2:16" x14ac:dyDescent="0.3">
      <c r="B39" s="344" t="s">
        <v>487</v>
      </c>
      <c r="C39" s="344"/>
      <c r="D39" s="344"/>
      <c r="E39" s="80"/>
      <c r="F39" s="84" t="s">
        <v>488</v>
      </c>
      <c r="G39" s="110">
        <f>G38*G28</f>
        <v>182.52783045028752</v>
      </c>
      <c r="H39" s="81" t="s">
        <v>450</v>
      </c>
      <c r="I39" s="80"/>
      <c r="J39" s="80"/>
      <c r="K39" s="80"/>
      <c r="L39" s="80"/>
      <c r="M39" s="80"/>
      <c r="N39" s="81" t="s">
        <v>372</v>
      </c>
      <c r="O39" s="82">
        <v>106</v>
      </c>
      <c r="P39" s="81" t="s">
        <v>313</v>
      </c>
    </row>
    <row r="40" spans="2:16" x14ac:dyDescent="0.3">
      <c r="B40" s="98" t="s">
        <v>489</v>
      </c>
      <c r="C40" s="99">
        <v>40</v>
      </c>
      <c r="D40" s="98" t="s">
        <v>490</v>
      </c>
      <c r="E40" s="80"/>
      <c r="F40" s="84" t="s">
        <v>491</v>
      </c>
      <c r="G40" s="109">
        <f>G39/G29*100</f>
        <v>73.011132180115013</v>
      </c>
      <c r="H40" s="111" t="s">
        <v>492</v>
      </c>
      <c r="I40" s="80"/>
      <c r="J40" s="342" t="s">
        <v>493</v>
      </c>
      <c r="K40" s="342"/>
      <c r="L40" s="342"/>
      <c r="M40" s="80"/>
      <c r="N40" s="81" t="s">
        <v>494</v>
      </c>
      <c r="O40" s="90">
        <f>1/(2*3.14*SQRT((O38/1000000)*(O39/1000000)))</f>
        <v>23780.295115228881</v>
      </c>
      <c r="P40" s="81" t="s">
        <v>381</v>
      </c>
    </row>
    <row r="41" spans="2:16" x14ac:dyDescent="0.3">
      <c r="B41" s="98" t="s">
        <v>495</v>
      </c>
      <c r="C41" s="99">
        <v>127</v>
      </c>
      <c r="D41" s="98" t="s">
        <v>325</v>
      </c>
      <c r="E41" s="80"/>
      <c r="F41" s="84" t="s">
        <v>496</v>
      </c>
      <c r="G41" s="109">
        <f>G40*G40/100</f>
        <v>53.306254222222258</v>
      </c>
      <c r="H41" s="111" t="s">
        <v>497</v>
      </c>
      <c r="I41" s="80"/>
      <c r="J41" s="81" t="s">
        <v>310</v>
      </c>
      <c r="K41" s="83" t="s">
        <v>311</v>
      </c>
      <c r="L41" s="83"/>
      <c r="M41" s="80"/>
      <c r="N41" s="80"/>
      <c r="O41" s="80"/>
      <c r="P41" s="80"/>
    </row>
    <row r="42" spans="2:16" x14ac:dyDescent="0.3">
      <c r="B42" s="98" t="s">
        <v>498</v>
      </c>
      <c r="C42" s="99">
        <v>401</v>
      </c>
      <c r="D42" s="98" t="s">
        <v>308</v>
      </c>
      <c r="E42" s="80"/>
      <c r="F42" s="80"/>
      <c r="G42" s="80"/>
      <c r="H42" s="80"/>
      <c r="I42" s="80"/>
      <c r="J42" s="85" t="s">
        <v>320</v>
      </c>
      <c r="K42" s="86">
        <v>1.75</v>
      </c>
      <c r="L42" s="85" t="s">
        <v>321</v>
      </c>
      <c r="M42" s="80"/>
      <c r="N42" s="342" t="s">
        <v>499</v>
      </c>
      <c r="O42" s="342"/>
      <c r="P42" s="342"/>
    </row>
    <row r="43" spans="2:16" x14ac:dyDescent="0.3">
      <c r="B43" s="98" t="s">
        <v>500</v>
      </c>
      <c r="C43" s="99">
        <v>1</v>
      </c>
      <c r="D43" s="98"/>
      <c r="E43" s="80"/>
      <c r="F43" s="342" t="s">
        <v>501</v>
      </c>
      <c r="G43" s="342"/>
      <c r="H43" s="342"/>
      <c r="I43" s="80"/>
      <c r="J43" s="85" t="s">
        <v>332</v>
      </c>
      <c r="K43" s="87">
        <v>3.8999999999999998E-3</v>
      </c>
      <c r="L43" s="85" t="s">
        <v>334</v>
      </c>
      <c r="M43" s="80"/>
      <c r="N43" s="81" t="s">
        <v>502</v>
      </c>
      <c r="O43" s="82">
        <v>852</v>
      </c>
      <c r="P43" s="81" t="s">
        <v>309</v>
      </c>
    </row>
    <row r="44" spans="2:16" x14ac:dyDescent="0.3">
      <c r="B44" s="98" t="s">
        <v>472</v>
      </c>
      <c r="C44" s="107">
        <f>C42*0.9/C43</f>
        <v>360.90000000000003</v>
      </c>
      <c r="D44" s="98" t="s">
        <v>309</v>
      </c>
      <c r="E44" s="80"/>
      <c r="F44" s="84" t="s">
        <v>503</v>
      </c>
      <c r="G44" s="82">
        <v>3.2</v>
      </c>
      <c r="H44" s="84" t="s">
        <v>434</v>
      </c>
      <c r="I44" s="80"/>
      <c r="J44" s="85" t="s">
        <v>342</v>
      </c>
      <c r="K44" s="89">
        <v>45</v>
      </c>
      <c r="L44" s="85" t="s">
        <v>344</v>
      </c>
      <c r="M44" s="80"/>
      <c r="N44" s="81" t="s">
        <v>367</v>
      </c>
      <c r="O44" s="82">
        <v>28.43</v>
      </c>
      <c r="P44" s="81" t="s">
        <v>399</v>
      </c>
    </row>
    <row r="45" spans="2:16" x14ac:dyDescent="0.3">
      <c r="B45" s="98" t="s">
        <v>504</v>
      </c>
      <c r="C45" s="107">
        <f>(C40*1000)/(C41*C42*0.9/C43)</f>
        <v>0.87270886650390644</v>
      </c>
      <c r="D45" s="98"/>
      <c r="E45" s="80"/>
      <c r="F45" s="84" t="s">
        <v>505</v>
      </c>
      <c r="G45" s="82">
        <v>100</v>
      </c>
      <c r="H45" s="84" t="s">
        <v>506</v>
      </c>
      <c r="I45" s="80"/>
      <c r="J45" s="85" t="s">
        <v>352</v>
      </c>
      <c r="K45" s="87">
        <f>K42*(1+K43*(K44-20))</f>
        <v>1.9206249999999998</v>
      </c>
      <c r="L45" s="85" t="s">
        <v>322</v>
      </c>
      <c r="M45" s="80"/>
      <c r="N45" s="81" t="s">
        <v>507</v>
      </c>
      <c r="O45" s="82">
        <v>5511</v>
      </c>
      <c r="P45" s="81" t="s">
        <v>325</v>
      </c>
    </row>
    <row r="46" spans="2:16" x14ac:dyDescent="0.3">
      <c r="B46" s="98" t="s">
        <v>508</v>
      </c>
      <c r="C46" s="112">
        <f>DEGREES(ACOS(C45))</f>
        <v>29.225030363895115</v>
      </c>
      <c r="D46" s="98"/>
      <c r="E46" s="80"/>
      <c r="F46" s="84" t="s">
        <v>509</v>
      </c>
      <c r="G46" s="82">
        <v>100</v>
      </c>
      <c r="H46" s="84" t="s">
        <v>469</v>
      </c>
      <c r="I46" s="80"/>
      <c r="J46" s="85" t="s">
        <v>355</v>
      </c>
      <c r="K46" s="91">
        <f>1/(K45/100000000)</f>
        <v>52066384.64041654</v>
      </c>
      <c r="L46" s="85" t="s">
        <v>356</v>
      </c>
      <c r="M46" s="80"/>
      <c r="N46" s="81" t="s">
        <v>510</v>
      </c>
      <c r="O46" s="90">
        <f>(O43)/(2*3.14*O44*1000*O45)*1000000</f>
        <v>0.8659098508059645</v>
      </c>
      <c r="P46" s="81" t="s">
        <v>511</v>
      </c>
    </row>
    <row r="47" spans="2:16" x14ac:dyDescent="0.3">
      <c r="B47" s="80"/>
      <c r="C47" s="80"/>
      <c r="D47" s="80"/>
      <c r="E47" s="80"/>
      <c r="F47" s="84" t="s">
        <v>512</v>
      </c>
      <c r="G47" s="90">
        <f>G44*G45/G46</f>
        <v>3.2</v>
      </c>
      <c r="H47" s="84" t="s">
        <v>513</v>
      </c>
      <c r="I47" s="80"/>
      <c r="J47" s="85" t="s">
        <v>359</v>
      </c>
      <c r="K47" s="83">
        <v>1</v>
      </c>
      <c r="L47" s="85" t="s">
        <v>361</v>
      </c>
      <c r="M47" s="80"/>
      <c r="N47" s="80"/>
      <c r="O47" s="80"/>
      <c r="P47" s="80"/>
    </row>
    <row r="48" spans="2:16" x14ac:dyDescent="0.3">
      <c r="B48" s="344" t="s">
        <v>514</v>
      </c>
      <c r="C48" s="344"/>
      <c r="D48" s="344"/>
      <c r="E48" s="80"/>
      <c r="F48" s="80"/>
      <c r="G48" s="80"/>
      <c r="H48" s="80"/>
      <c r="I48" s="80"/>
      <c r="J48" s="85" t="s">
        <v>367</v>
      </c>
      <c r="K48" s="92">
        <v>200</v>
      </c>
      <c r="L48" s="85" t="s">
        <v>368</v>
      </c>
      <c r="M48" s="80"/>
      <c r="N48" s="342" t="s">
        <v>301</v>
      </c>
      <c r="O48" s="342"/>
      <c r="P48" s="342"/>
    </row>
    <row r="49" spans="2:17" x14ac:dyDescent="0.3">
      <c r="B49" s="113" t="s">
        <v>515</v>
      </c>
      <c r="C49" s="114">
        <v>200</v>
      </c>
      <c r="D49" s="113" t="s">
        <v>328</v>
      </c>
      <c r="E49" s="80"/>
      <c r="F49" s="342" t="s">
        <v>516</v>
      </c>
      <c r="G49" s="342"/>
      <c r="H49" s="342"/>
      <c r="I49" s="80"/>
      <c r="J49" s="85" t="s">
        <v>374</v>
      </c>
      <c r="K49" s="93">
        <f>503.3*SQRT((K45/100000000)/(K47*K48))*1000</f>
        <v>4.9321153073820669</v>
      </c>
      <c r="L49" s="85" t="s">
        <v>375</v>
      </c>
      <c r="M49" s="80"/>
      <c r="N49" s="81" t="s">
        <v>307</v>
      </c>
      <c r="O49" s="82">
        <v>521</v>
      </c>
      <c r="P49" s="81" t="s">
        <v>308</v>
      </c>
      <c r="Q49" s="264" t="s">
        <v>973</v>
      </c>
    </row>
    <row r="50" spans="2:17" x14ac:dyDescent="0.3">
      <c r="B50" s="113" t="s">
        <v>517</v>
      </c>
      <c r="C50" s="114">
        <v>3</v>
      </c>
      <c r="D50" s="113" t="s">
        <v>328</v>
      </c>
      <c r="E50" s="80"/>
      <c r="F50" s="98" t="s">
        <v>518</v>
      </c>
      <c r="G50" s="99">
        <v>15.4</v>
      </c>
      <c r="H50" s="98" t="s">
        <v>328</v>
      </c>
      <c r="I50" s="80"/>
      <c r="J50" s="85" t="s">
        <v>382</v>
      </c>
      <c r="K50" s="95">
        <v>16000</v>
      </c>
      <c r="L50" s="85" t="s">
        <v>375</v>
      </c>
      <c r="M50" s="80"/>
      <c r="N50" s="81" t="s">
        <v>317</v>
      </c>
      <c r="O50" s="82">
        <v>0.3</v>
      </c>
      <c r="P50" s="81" t="s">
        <v>318</v>
      </c>
    </row>
    <row r="51" spans="2:17" x14ac:dyDescent="0.3">
      <c r="B51" s="113" t="s">
        <v>519</v>
      </c>
      <c r="C51" s="114">
        <v>300</v>
      </c>
      <c r="D51" s="113" t="s">
        <v>316</v>
      </c>
      <c r="E51" s="80"/>
      <c r="F51" s="98" t="s">
        <v>520</v>
      </c>
      <c r="G51" s="99">
        <v>2</v>
      </c>
      <c r="H51" s="98" t="s">
        <v>328</v>
      </c>
      <c r="I51" s="80"/>
      <c r="J51" s="85" t="s">
        <v>465</v>
      </c>
      <c r="K51" s="95">
        <v>6</v>
      </c>
      <c r="L51" s="85" t="s">
        <v>521</v>
      </c>
      <c r="M51" s="80"/>
      <c r="N51" s="81" t="s">
        <v>329</v>
      </c>
      <c r="O51" s="82">
        <v>3.59</v>
      </c>
      <c r="P51" s="81" t="s">
        <v>330</v>
      </c>
    </row>
    <row r="52" spans="2:17" x14ac:dyDescent="0.3">
      <c r="B52" s="113" t="s">
        <v>522</v>
      </c>
      <c r="C52" s="115">
        <f>12.5*(C50/10)*(C51/10)/(C49/10)</f>
        <v>5.625</v>
      </c>
      <c r="D52" s="113" t="s">
        <v>523</v>
      </c>
      <c r="E52" s="80"/>
      <c r="F52" s="98" t="s">
        <v>524</v>
      </c>
      <c r="G52" s="107">
        <f>G50+G51*2</f>
        <v>19.399999999999999</v>
      </c>
      <c r="H52" s="98" t="s">
        <v>328</v>
      </c>
      <c r="I52" s="80"/>
      <c r="J52" s="85" t="s">
        <v>388</v>
      </c>
      <c r="K52" s="97">
        <f>MIN(K49,K51)</f>
        <v>4.9321153073820669</v>
      </c>
      <c r="L52" s="85" t="s">
        <v>375</v>
      </c>
      <c r="M52" s="80"/>
      <c r="N52" s="81" t="s">
        <v>971</v>
      </c>
      <c r="O52" s="82">
        <v>6.2</v>
      </c>
      <c r="P52" s="81" t="s">
        <v>972</v>
      </c>
    </row>
    <row r="53" spans="2:17" x14ac:dyDescent="0.3">
      <c r="B53" s="116"/>
      <c r="C53" s="116"/>
      <c r="D53" s="116"/>
      <c r="E53" s="116"/>
      <c r="F53" s="117" t="s">
        <v>525</v>
      </c>
      <c r="G53" s="118">
        <v>8.8539999999999992E-12</v>
      </c>
      <c r="H53" s="103"/>
      <c r="I53" s="116"/>
      <c r="J53" s="85" t="s">
        <v>526</v>
      </c>
      <c r="K53" s="95">
        <v>38</v>
      </c>
      <c r="L53" s="85" t="s">
        <v>521</v>
      </c>
      <c r="M53" s="116"/>
      <c r="N53" s="81" t="s">
        <v>349</v>
      </c>
      <c r="O53" s="90">
        <f>(0.01*O52*O49)/(O50*O51)</f>
        <v>29.992571959145781</v>
      </c>
      <c r="P53" s="81" t="s">
        <v>350</v>
      </c>
    </row>
    <row r="54" spans="2:17" x14ac:dyDescent="0.3">
      <c r="B54" s="344" t="s">
        <v>527</v>
      </c>
      <c r="C54" s="344"/>
      <c r="D54" s="344"/>
      <c r="E54" s="116"/>
      <c r="F54" s="117" t="s">
        <v>528</v>
      </c>
      <c r="G54" s="104">
        <v>2.1</v>
      </c>
      <c r="H54" s="103" t="s">
        <v>529</v>
      </c>
      <c r="I54" s="116"/>
      <c r="J54" s="85" t="s">
        <v>530</v>
      </c>
      <c r="K54" s="95">
        <v>30</v>
      </c>
      <c r="L54" s="85" t="s">
        <v>375</v>
      </c>
      <c r="M54" s="116"/>
      <c r="N54" s="116"/>
      <c r="O54" s="116"/>
      <c r="P54" s="116"/>
    </row>
    <row r="55" spans="2:17" x14ac:dyDescent="0.3">
      <c r="B55" s="113" t="s">
        <v>531</v>
      </c>
      <c r="C55" s="114">
        <v>3000</v>
      </c>
      <c r="D55" s="113" t="s">
        <v>533</v>
      </c>
      <c r="E55" s="116"/>
      <c r="F55" s="103" t="s">
        <v>534</v>
      </c>
      <c r="G55" s="118">
        <f>2*PI()*G53*G54/(LN(G52/G50))*1000000000</f>
        <v>0.50594615125588516</v>
      </c>
      <c r="H55" s="103" t="s">
        <v>535</v>
      </c>
      <c r="I55" s="116"/>
      <c r="J55" s="85" t="s">
        <v>401</v>
      </c>
      <c r="K55" s="97">
        <f>(K53*K54)-((K53-2*K52)*(K54-2*K52))</f>
        <v>573.46463618271105</v>
      </c>
      <c r="L55" s="85" t="s">
        <v>403</v>
      </c>
      <c r="M55" s="116"/>
      <c r="N55" s="342" t="s">
        <v>301</v>
      </c>
      <c r="O55" s="342"/>
      <c r="P55" s="342"/>
    </row>
    <row r="56" spans="2:17" x14ac:dyDescent="0.3">
      <c r="B56" s="113" t="s">
        <v>536</v>
      </c>
      <c r="C56" s="114">
        <v>1</v>
      </c>
      <c r="D56" s="113" t="s">
        <v>316</v>
      </c>
      <c r="E56" s="116"/>
      <c r="F56" s="103" t="s">
        <v>537</v>
      </c>
      <c r="G56" s="104">
        <v>10</v>
      </c>
      <c r="H56" s="103" t="s">
        <v>425</v>
      </c>
      <c r="I56" s="116"/>
      <c r="J56" s="85" t="s">
        <v>409</v>
      </c>
      <c r="K56" s="95">
        <v>7200</v>
      </c>
      <c r="L56" s="100" t="s">
        <v>411</v>
      </c>
      <c r="M56" s="116"/>
      <c r="N56" s="81" t="s">
        <v>307</v>
      </c>
      <c r="O56" s="82">
        <v>69.465999999999994</v>
      </c>
      <c r="P56" s="81" t="s">
        <v>308</v>
      </c>
      <c r="Q56" t="s">
        <v>974</v>
      </c>
    </row>
    <row r="57" spans="2:17" x14ac:dyDescent="0.3">
      <c r="B57" s="113" t="s">
        <v>528</v>
      </c>
      <c r="C57" s="114">
        <v>2.1</v>
      </c>
      <c r="D57" s="113" t="s">
        <v>538</v>
      </c>
      <c r="E57" s="119"/>
      <c r="F57" s="103" t="s">
        <v>539</v>
      </c>
      <c r="G57" s="120">
        <f>G55*G56</f>
        <v>5.0594615125588511</v>
      </c>
      <c r="H57" s="103" t="s">
        <v>540</v>
      </c>
      <c r="I57" s="116"/>
      <c r="J57" s="85" t="s">
        <v>484</v>
      </c>
      <c r="K57" s="101">
        <f>K56/K55</f>
        <v>12.555264170999402</v>
      </c>
      <c r="L57" s="100" t="s">
        <v>411</v>
      </c>
      <c r="M57" s="116"/>
      <c r="N57" s="81" t="s">
        <v>317</v>
      </c>
      <c r="O57" s="82">
        <v>0.3</v>
      </c>
      <c r="P57" s="81" t="s">
        <v>318</v>
      </c>
    </row>
    <row r="58" spans="2:17" x14ac:dyDescent="0.3">
      <c r="B58" s="113" t="s">
        <v>541</v>
      </c>
      <c r="C58" s="115">
        <f>8.854/1000000000000*C57*(C55/1000000)/(C56/1000)*1000000000</f>
        <v>5.5780200000000002E-2</v>
      </c>
      <c r="D58" s="113" t="s">
        <v>540</v>
      </c>
      <c r="E58" s="116"/>
      <c r="F58" s="116"/>
      <c r="G58" s="116"/>
      <c r="H58" s="116"/>
      <c r="I58" s="116"/>
      <c r="J58" s="85" t="s">
        <v>417</v>
      </c>
      <c r="K58" s="101">
        <f>K45/100000000*(K56^2)/(K55/1000000)*K50/1000</f>
        <v>27779.275294186435</v>
      </c>
      <c r="L58" s="100" t="s">
        <v>419</v>
      </c>
      <c r="M58" s="116"/>
      <c r="N58" s="81" t="s">
        <v>329</v>
      </c>
      <c r="O58" s="82">
        <v>3.63</v>
      </c>
      <c r="P58" s="81" t="s">
        <v>330</v>
      </c>
    </row>
    <row r="59" spans="2:17" x14ac:dyDescent="0.3">
      <c r="B59" s="116"/>
      <c r="C59" s="116"/>
      <c r="D59" s="116"/>
      <c r="E59" s="116"/>
      <c r="F59" s="116"/>
      <c r="G59" s="116"/>
      <c r="H59" s="116"/>
      <c r="I59" s="116"/>
      <c r="J59" s="116"/>
      <c r="K59" s="116"/>
      <c r="L59" s="116"/>
      <c r="M59" s="116"/>
      <c r="N59" s="81" t="s">
        <v>971</v>
      </c>
      <c r="O59" s="82">
        <v>6.2</v>
      </c>
      <c r="P59" s="81" t="s">
        <v>972</v>
      </c>
    </row>
    <row r="60" spans="2:17" x14ac:dyDescent="0.3">
      <c r="B60" s="343" t="s">
        <v>542</v>
      </c>
      <c r="C60" s="343"/>
      <c r="D60" s="343"/>
      <c r="E60" s="121"/>
      <c r="F60" s="116"/>
      <c r="G60" s="116"/>
      <c r="H60" s="116"/>
      <c r="I60" s="116"/>
      <c r="J60" s="342" t="s">
        <v>544</v>
      </c>
      <c r="K60" s="342"/>
      <c r="L60" s="342"/>
      <c r="M60" s="116"/>
      <c r="N60" s="81" t="s">
        <v>349</v>
      </c>
      <c r="O60" s="90">
        <f>(0.01*O59*O56)/(O57*O58)</f>
        <v>3.9549054178145093</v>
      </c>
      <c r="P60" s="81" t="s">
        <v>350</v>
      </c>
    </row>
    <row r="61" spans="2:17" x14ac:dyDescent="0.25">
      <c r="B61" s="122"/>
      <c r="C61" s="123" t="s">
        <v>545</v>
      </c>
      <c r="D61" s="123" t="s">
        <v>546</v>
      </c>
      <c r="E61" s="123" t="s">
        <v>547</v>
      </c>
      <c r="F61" s="116"/>
      <c r="G61" s="116"/>
      <c r="H61" s="116"/>
      <c r="I61" s="116"/>
      <c r="J61" s="81" t="s">
        <v>310</v>
      </c>
      <c r="K61" s="83" t="s">
        <v>548</v>
      </c>
      <c r="L61" s="83"/>
      <c r="M61" s="116"/>
      <c r="N61" s="116"/>
      <c r="O61" s="116"/>
      <c r="P61" s="116"/>
    </row>
    <row r="62" spans="2:17" x14ac:dyDescent="0.25">
      <c r="B62" s="123" t="s">
        <v>549</v>
      </c>
      <c r="C62" s="123" t="s">
        <v>550</v>
      </c>
      <c r="D62" s="123" t="s">
        <v>551</v>
      </c>
      <c r="E62" s="123" t="s">
        <v>552</v>
      </c>
      <c r="F62" s="116"/>
      <c r="G62" s="116"/>
      <c r="H62" s="116"/>
      <c r="I62" s="116"/>
      <c r="J62" s="85" t="s">
        <v>320</v>
      </c>
      <c r="K62" s="86">
        <v>1.75</v>
      </c>
      <c r="L62" s="85" t="s">
        <v>322</v>
      </c>
      <c r="M62" s="116"/>
      <c r="N62" s="342" t="s">
        <v>301</v>
      </c>
      <c r="O62" s="342"/>
      <c r="P62" s="342"/>
    </row>
    <row r="63" spans="2:17" x14ac:dyDescent="0.3">
      <c r="B63" s="124">
        <v>0.5</v>
      </c>
      <c r="C63" s="124"/>
      <c r="D63" s="124">
        <v>2.5</v>
      </c>
      <c r="E63" s="124"/>
      <c r="F63" s="116"/>
      <c r="G63" s="116"/>
      <c r="H63" s="116"/>
      <c r="I63" s="116"/>
      <c r="J63" s="85" t="s">
        <v>331</v>
      </c>
      <c r="K63" s="87">
        <v>3.8999999999999998E-3</v>
      </c>
      <c r="L63" s="85" t="s">
        <v>334</v>
      </c>
      <c r="M63" s="116"/>
      <c r="N63" s="81" t="s">
        <v>307</v>
      </c>
      <c r="O63" s="82">
        <v>400</v>
      </c>
      <c r="P63" s="81" t="s">
        <v>308</v>
      </c>
      <c r="Q63" s="264" t="s">
        <v>975</v>
      </c>
    </row>
    <row r="64" spans="2:17" x14ac:dyDescent="0.3">
      <c r="B64" s="124">
        <v>0.8</v>
      </c>
      <c r="C64" s="124"/>
      <c r="D64" s="124">
        <v>1.42</v>
      </c>
      <c r="E64" s="124"/>
      <c r="F64" s="116"/>
      <c r="G64" s="116"/>
      <c r="H64" s="116"/>
      <c r="I64" s="116"/>
      <c r="J64" s="85" t="s">
        <v>342</v>
      </c>
      <c r="K64" s="89">
        <v>45</v>
      </c>
      <c r="L64" s="85" t="s">
        <v>344</v>
      </c>
      <c r="M64" s="116"/>
      <c r="N64" s="81" t="s">
        <v>317</v>
      </c>
      <c r="O64" s="82">
        <v>0.3</v>
      </c>
      <c r="P64" s="81" t="s">
        <v>318</v>
      </c>
    </row>
    <row r="65" spans="2:16" x14ac:dyDescent="0.3">
      <c r="B65" s="124">
        <v>1</v>
      </c>
      <c r="C65" s="124">
        <v>2</v>
      </c>
      <c r="D65" s="125">
        <v>1.1000000000000001</v>
      </c>
      <c r="E65" s="124"/>
      <c r="F65" s="116"/>
      <c r="G65" s="116"/>
      <c r="H65" s="116"/>
      <c r="I65" s="116"/>
      <c r="J65" s="85" t="s">
        <v>351</v>
      </c>
      <c r="K65" s="87">
        <f>K62*(1+K63*(K64-20))</f>
        <v>1.9206249999999998</v>
      </c>
      <c r="L65" s="85" t="s">
        <v>321</v>
      </c>
      <c r="M65" s="116"/>
      <c r="N65" s="81" t="s">
        <v>329</v>
      </c>
      <c r="O65" s="82">
        <v>3.59</v>
      </c>
      <c r="P65" s="81" t="s">
        <v>330</v>
      </c>
    </row>
    <row r="66" spans="2:16" x14ac:dyDescent="0.3">
      <c r="B66" s="124">
        <v>1.2</v>
      </c>
      <c r="C66" s="124"/>
      <c r="D66" s="124">
        <v>1.04</v>
      </c>
      <c r="E66" s="124"/>
      <c r="F66" s="116"/>
      <c r="G66" s="116"/>
      <c r="H66" s="116"/>
      <c r="I66" s="116"/>
      <c r="J66" s="85" t="s">
        <v>355</v>
      </c>
      <c r="K66" s="91">
        <f>1/(K65/100000000)</f>
        <v>52066384.64041654</v>
      </c>
      <c r="L66" s="85" t="s">
        <v>356</v>
      </c>
      <c r="M66" s="116"/>
      <c r="N66" s="81" t="s">
        <v>971</v>
      </c>
      <c r="O66" s="82">
        <v>8</v>
      </c>
      <c r="P66" s="81" t="s">
        <v>972</v>
      </c>
    </row>
    <row r="67" spans="2:16" x14ac:dyDescent="0.3">
      <c r="B67" s="124">
        <v>2</v>
      </c>
      <c r="C67" s="124">
        <v>1.1200000000000001</v>
      </c>
      <c r="D67" s="124">
        <v>0.75</v>
      </c>
      <c r="E67" s="124"/>
      <c r="F67" s="116"/>
      <c r="G67" s="116"/>
      <c r="H67" s="116"/>
      <c r="I67" s="116"/>
      <c r="J67" s="85" t="s">
        <v>360</v>
      </c>
      <c r="K67" s="83">
        <v>1</v>
      </c>
      <c r="L67" s="85" t="s">
        <v>553</v>
      </c>
      <c r="M67" s="116"/>
      <c r="N67" s="81" t="s">
        <v>349</v>
      </c>
      <c r="O67" s="90">
        <f>(0.01*O66*O63)/(O64*O65)</f>
        <v>29.712163416898793</v>
      </c>
      <c r="P67" s="81" t="s">
        <v>350</v>
      </c>
    </row>
    <row r="68" spans="2:16" x14ac:dyDescent="0.3">
      <c r="B68" s="124">
        <v>3</v>
      </c>
      <c r="C68" s="124">
        <v>0.71</v>
      </c>
      <c r="D68" s="124">
        <v>0.57999999999999996</v>
      </c>
      <c r="E68" s="124"/>
      <c r="F68" s="116"/>
      <c r="G68" s="116"/>
      <c r="H68" s="116"/>
      <c r="I68" s="116"/>
      <c r="J68" s="85" t="s">
        <v>382</v>
      </c>
      <c r="K68" s="95">
        <v>6126</v>
      </c>
      <c r="L68" s="85" t="s">
        <v>375</v>
      </c>
      <c r="M68" s="116"/>
      <c r="N68" s="116"/>
      <c r="O68" s="116"/>
      <c r="P68" s="116"/>
    </row>
    <row r="69" spans="2:16" x14ac:dyDescent="0.3">
      <c r="B69" s="124">
        <v>5</v>
      </c>
      <c r="C69" s="124">
        <v>0.43</v>
      </c>
      <c r="D69" s="124">
        <v>0.36</v>
      </c>
      <c r="E69" s="124"/>
      <c r="F69" s="116"/>
      <c r="G69" s="116"/>
      <c r="H69" s="116"/>
      <c r="I69" s="116"/>
      <c r="J69" s="85" t="s">
        <v>385</v>
      </c>
      <c r="K69" s="95">
        <v>2</v>
      </c>
      <c r="L69" s="85" t="s">
        <v>375</v>
      </c>
      <c r="M69" s="116"/>
      <c r="N69" s="116"/>
      <c r="O69" s="116"/>
      <c r="P69" s="116"/>
    </row>
    <row r="70" spans="2:16" x14ac:dyDescent="0.3">
      <c r="B70" s="124">
        <v>6</v>
      </c>
      <c r="C70" s="124"/>
      <c r="D70" s="124">
        <v>0.34</v>
      </c>
      <c r="E70" s="124">
        <v>0.62</v>
      </c>
      <c r="F70" s="116"/>
      <c r="G70" s="116"/>
      <c r="H70" s="116"/>
      <c r="I70" s="116"/>
      <c r="J70" s="85" t="s">
        <v>394</v>
      </c>
      <c r="K70" s="95">
        <v>60</v>
      </c>
      <c r="L70" s="85" t="s">
        <v>521</v>
      </c>
      <c r="M70" s="116"/>
      <c r="N70" s="116"/>
      <c r="O70" s="116"/>
      <c r="P70" s="116"/>
    </row>
    <row r="71" spans="2:16" x14ac:dyDescent="0.3">
      <c r="B71" s="124">
        <v>8</v>
      </c>
      <c r="C71" s="124">
        <v>0.3</v>
      </c>
      <c r="D71" s="124">
        <v>0.25</v>
      </c>
      <c r="E71" s="124"/>
      <c r="F71" s="116"/>
      <c r="G71" s="116"/>
      <c r="H71" s="116"/>
      <c r="I71" s="116"/>
      <c r="J71" s="85" t="s">
        <v>402</v>
      </c>
      <c r="K71" s="97">
        <f>K69*K70</f>
        <v>120</v>
      </c>
      <c r="L71" s="85" t="s">
        <v>403</v>
      </c>
      <c r="M71" s="116"/>
      <c r="N71" s="116"/>
      <c r="O71" s="116"/>
      <c r="P71" s="116"/>
    </row>
    <row r="72" spans="2:16" x14ac:dyDescent="0.3">
      <c r="B72" s="124">
        <v>10</v>
      </c>
      <c r="C72" s="124"/>
      <c r="D72" s="124"/>
      <c r="E72" s="124">
        <v>0.45</v>
      </c>
      <c r="F72" s="116"/>
      <c r="G72" s="116"/>
      <c r="H72" s="116"/>
      <c r="I72" s="116"/>
      <c r="J72" s="85" t="s">
        <v>408</v>
      </c>
      <c r="K72" s="95">
        <v>850</v>
      </c>
      <c r="L72" s="100" t="s">
        <v>411</v>
      </c>
      <c r="M72" s="116"/>
      <c r="N72" s="116"/>
      <c r="O72" s="116"/>
      <c r="P72" s="116"/>
    </row>
    <row r="73" spans="2:16" x14ac:dyDescent="0.3">
      <c r="B73" s="124">
        <v>15</v>
      </c>
      <c r="C73" s="124"/>
      <c r="D73" s="124"/>
      <c r="E73" s="124">
        <v>0.4</v>
      </c>
      <c r="F73" s="116"/>
      <c r="G73" s="116"/>
      <c r="H73" s="116"/>
      <c r="I73" s="116"/>
      <c r="J73" s="85" t="s">
        <v>484</v>
      </c>
      <c r="K73" s="101">
        <f>K72/K71</f>
        <v>7.083333333333333</v>
      </c>
      <c r="L73" s="100" t="s">
        <v>410</v>
      </c>
      <c r="M73" s="116"/>
      <c r="N73" s="116"/>
      <c r="O73" s="116"/>
      <c r="P73" s="116"/>
    </row>
    <row r="74" spans="2:16" x14ac:dyDescent="0.3">
      <c r="B74" s="124">
        <v>20</v>
      </c>
      <c r="C74" s="124"/>
      <c r="D74" s="124"/>
      <c r="E74" s="124">
        <v>0.35</v>
      </c>
      <c r="F74" s="116"/>
      <c r="G74" s="116"/>
      <c r="H74" s="116"/>
      <c r="I74" s="116"/>
      <c r="J74" s="85" t="s">
        <v>417</v>
      </c>
      <c r="K74" s="101">
        <f>K65/100000000*(K72^2)/(K71/1000000)*K68/1000</f>
        <v>708.39612265624987</v>
      </c>
      <c r="L74" s="100" t="s">
        <v>419</v>
      </c>
      <c r="M74" s="116"/>
      <c r="N74" s="116"/>
      <c r="O74" s="116"/>
      <c r="P74" s="116"/>
    </row>
    <row r="75" spans="2:16" x14ac:dyDescent="0.3">
      <c r="B75" s="124">
        <v>30</v>
      </c>
      <c r="C75" s="124"/>
      <c r="D75" s="124"/>
      <c r="E75" s="124">
        <v>0.28939999999999999</v>
      </c>
      <c r="F75" s="116"/>
      <c r="G75" s="116"/>
      <c r="H75" s="116"/>
      <c r="I75" s="116"/>
      <c r="J75" s="116"/>
      <c r="K75" s="116"/>
      <c r="L75" s="116"/>
      <c r="M75" s="116"/>
      <c r="N75" s="116"/>
      <c r="O75" s="116"/>
      <c r="P75" s="116"/>
    </row>
    <row r="76" spans="2:16" x14ac:dyDescent="0.3">
      <c r="B76" s="124">
        <v>50</v>
      </c>
      <c r="C76" s="124"/>
      <c r="D76" s="124"/>
      <c r="E76" s="124">
        <v>0.224</v>
      </c>
      <c r="F76" s="116"/>
      <c r="G76" s="116"/>
      <c r="H76" s="116"/>
      <c r="I76" s="116"/>
      <c r="J76" s="116"/>
      <c r="K76" s="116"/>
      <c r="L76" s="116"/>
      <c r="M76" s="116"/>
      <c r="N76" s="116"/>
      <c r="O76" s="116"/>
      <c r="P76" s="116"/>
    </row>
    <row r="77" spans="2:16" x14ac:dyDescent="0.3">
      <c r="B77" s="124">
        <v>100</v>
      </c>
      <c r="C77" s="124"/>
      <c r="D77" s="124"/>
      <c r="E77" s="124">
        <v>0.161</v>
      </c>
      <c r="F77" s="116"/>
      <c r="G77" s="116"/>
      <c r="H77" s="116"/>
      <c r="I77" s="116"/>
      <c r="J77" s="116"/>
      <c r="K77" s="116"/>
      <c r="L77" s="116"/>
      <c r="M77" s="116"/>
      <c r="N77" s="116"/>
      <c r="O77" s="116"/>
      <c r="P77" s="116"/>
    </row>
    <row r="78" spans="2:16" x14ac:dyDescent="0.3">
      <c r="B78" s="124">
        <v>200</v>
      </c>
      <c r="C78" s="124"/>
      <c r="D78" s="124"/>
      <c r="E78" s="124">
        <v>7.7600000000000002E-2</v>
      </c>
      <c r="F78" s="116"/>
      <c r="G78" s="116"/>
      <c r="H78" s="116"/>
      <c r="I78" s="116"/>
      <c r="J78" s="116"/>
      <c r="K78" s="116"/>
      <c r="L78" s="116"/>
      <c r="M78" s="116"/>
      <c r="N78" s="116"/>
      <c r="O78" s="116"/>
      <c r="P78" s="116"/>
    </row>
    <row r="79" spans="2:16" x14ac:dyDescent="0.3">
      <c r="B79" s="124">
        <v>300</v>
      </c>
      <c r="C79" s="124"/>
      <c r="D79" s="124"/>
      <c r="E79" s="124">
        <v>5.2400000000000002E-2</v>
      </c>
      <c r="F79" s="116"/>
      <c r="G79" s="116"/>
      <c r="H79" s="116"/>
      <c r="I79" s="116"/>
      <c r="J79" s="116"/>
      <c r="K79" s="116"/>
      <c r="L79" s="116"/>
      <c r="M79" s="116"/>
      <c r="N79" s="116"/>
      <c r="O79" s="116"/>
      <c r="P79" s="116"/>
    </row>
    <row r="80" spans="2:16" x14ac:dyDescent="0.3">
      <c r="B80" s="116"/>
      <c r="C80" s="116"/>
      <c r="D80" s="116"/>
      <c r="E80" s="116"/>
      <c r="F80" s="116"/>
      <c r="G80" s="116"/>
      <c r="H80" s="116"/>
      <c r="I80" s="116"/>
      <c r="J80" s="116"/>
      <c r="K80" s="116"/>
      <c r="L80" s="116"/>
      <c r="M80" s="116"/>
      <c r="N80" s="116"/>
      <c r="O80" s="116"/>
      <c r="P80" s="116"/>
    </row>
    <row r="81" spans="2:16" x14ac:dyDescent="0.3">
      <c r="B81" s="343" t="s">
        <v>554</v>
      </c>
      <c r="C81" s="343"/>
      <c r="D81" s="343"/>
      <c r="E81" s="116"/>
      <c r="F81" s="343" t="s">
        <v>555</v>
      </c>
      <c r="G81" s="343"/>
      <c r="H81" s="343"/>
      <c r="I81" s="116"/>
      <c r="J81" s="116"/>
      <c r="K81" s="116"/>
      <c r="L81" s="116"/>
      <c r="M81" s="116"/>
      <c r="N81" s="116"/>
      <c r="O81" s="116"/>
      <c r="P81" s="116"/>
    </row>
    <row r="82" spans="2:16" x14ac:dyDescent="0.3">
      <c r="B82" s="126" t="s">
        <v>556</v>
      </c>
      <c r="C82" s="126" t="s">
        <v>557</v>
      </c>
      <c r="D82" s="126"/>
      <c r="E82" s="116"/>
      <c r="F82" s="126" t="s">
        <v>558</v>
      </c>
      <c r="G82" s="126" t="s">
        <v>559</v>
      </c>
      <c r="H82" s="126" t="s">
        <v>560</v>
      </c>
      <c r="I82" s="116"/>
      <c r="J82" s="116"/>
      <c r="K82" s="116"/>
      <c r="L82" s="116"/>
      <c r="M82" s="116"/>
      <c r="N82" s="116"/>
      <c r="O82" s="116"/>
      <c r="P82" s="116"/>
    </row>
    <row r="83" spans="2:16" x14ac:dyDescent="0.3">
      <c r="B83" s="103" t="s">
        <v>561</v>
      </c>
      <c r="C83" s="103">
        <v>183</v>
      </c>
      <c r="D83" s="103" t="s">
        <v>563</v>
      </c>
      <c r="E83" s="116"/>
      <c r="F83" s="127" t="s">
        <v>564</v>
      </c>
      <c r="G83" s="127" t="s">
        <v>565</v>
      </c>
      <c r="H83" s="128" t="s">
        <v>566</v>
      </c>
      <c r="I83" s="116"/>
      <c r="J83" s="116"/>
      <c r="K83" s="116"/>
      <c r="L83" s="116"/>
      <c r="M83" s="116"/>
      <c r="N83" s="116"/>
      <c r="O83" s="116"/>
      <c r="P83" s="116"/>
    </row>
    <row r="84" spans="2:16" x14ac:dyDescent="0.3">
      <c r="B84" s="103" t="s">
        <v>567</v>
      </c>
      <c r="C84" s="103">
        <v>75</v>
      </c>
      <c r="D84" s="103" t="s">
        <v>563</v>
      </c>
      <c r="E84" s="116"/>
      <c r="F84" s="127" t="s">
        <v>568</v>
      </c>
      <c r="G84" s="127" t="s">
        <v>569</v>
      </c>
      <c r="H84" s="128" t="s">
        <v>570</v>
      </c>
      <c r="I84" s="116"/>
      <c r="J84" s="116"/>
      <c r="K84" s="116"/>
      <c r="L84" s="116"/>
      <c r="M84" s="116"/>
      <c r="N84" s="116"/>
      <c r="O84" s="116"/>
      <c r="P84" s="116"/>
    </row>
    <row r="85" spans="2:16" x14ac:dyDescent="0.3">
      <c r="B85" s="103" t="s">
        <v>571</v>
      </c>
      <c r="C85" s="103">
        <v>9</v>
      </c>
      <c r="D85" s="103" t="s">
        <v>563</v>
      </c>
      <c r="E85" s="116"/>
      <c r="F85" s="127" t="s">
        <v>572</v>
      </c>
      <c r="G85" s="127" t="s">
        <v>573</v>
      </c>
      <c r="H85" s="128" t="s">
        <v>574</v>
      </c>
      <c r="I85" s="116"/>
      <c r="J85" s="116"/>
      <c r="K85" s="116"/>
      <c r="L85" s="116"/>
      <c r="M85" s="116"/>
      <c r="N85" s="116"/>
      <c r="O85" s="116"/>
      <c r="P85" s="116"/>
    </row>
    <row r="86" spans="2:16" x14ac:dyDescent="0.3">
      <c r="B86" s="103" t="s">
        <v>575</v>
      </c>
      <c r="C86" s="103">
        <v>6</v>
      </c>
      <c r="D86" s="103" t="s">
        <v>563</v>
      </c>
      <c r="E86" s="116"/>
      <c r="F86" s="127" t="s">
        <v>576</v>
      </c>
      <c r="G86" s="127" t="s">
        <v>577</v>
      </c>
      <c r="H86" s="128" t="s">
        <v>578</v>
      </c>
      <c r="I86" s="116"/>
      <c r="J86" s="116"/>
      <c r="K86" s="116"/>
      <c r="L86" s="116"/>
      <c r="M86" s="116"/>
      <c r="N86" s="116"/>
      <c r="O86" s="116"/>
      <c r="P86" s="116"/>
    </row>
    <row r="87" spans="2:16" x14ac:dyDescent="0.3">
      <c r="B87" s="103" t="s">
        <v>579</v>
      </c>
      <c r="C87" s="103">
        <v>12</v>
      </c>
      <c r="D87" s="103" t="s">
        <v>562</v>
      </c>
      <c r="E87" s="116"/>
      <c r="F87" s="127" t="s">
        <v>580</v>
      </c>
      <c r="G87" s="127" t="s">
        <v>581</v>
      </c>
      <c r="H87" s="128" t="s">
        <v>582</v>
      </c>
      <c r="I87" s="116"/>
      <c r="J87" s="116"/>
      <c r="K87" s="116"/>
      <c r="L87" s="116"/>
      <c r="M87" s="116"/>
      <c r="N87" s="116"/>
      <c r="O87" s="116"/>
      <c r="P87" s="116"/>
    </row>
    <row r="88" spans="2:16" x14ac:dyDescent="0.3">
      <c r="B88" s="103" t="s">
        <v>583</v>
      </c>
      <c r="C88" s="103">
        <v>78.540000000000006</v>
      </c>
      <c r="D88" s="103" t="s">
        <v>563</v>
      </c>
      <c r="E88" s="116"/>
      <c r="F88" s="127" t="s">
        <v>584</v>
      </c>
      <c r="G88" s="127" t="s">
        <v>585</v>
      </c>
      <c r="H88" s="128" t="s">
        <v>586</v>
      </c>
      <c r="I88" s="116"/>
      <c r="J88" s="116"/>
      <c r="K88" s="116"/>
      <c r="L88" s="116"/>
      <c r="M88" s="116"/>
      <c r="N88" s="116"/>
      <c r="O88" s="116"/>
      <c r="P88" s="116"/>
    </row>
  </sheetData>
  <mergeCells count="29">
    <mergeCell ref="G31:H31"/>
    <mergeCell ref="N31:P31"/>
    <mergeCell ref="B28:D28"/>
    <mergeCell ref="B2:D2"/>
    <mergeCell ref="F2:H2"/>
    <mergeCell ref="J2:L2"/>
    <mergeCell ref="N2:P2"/>
    <mergeCell ref="F9:H9"/>
    <mergeCell ref="N9:P9"/>
    <mergeCell ref="F14:H14"/>
    <mergeCell ref="B15:D15"/>
    <mergeCell ref="N18:P18"/>
    <mergeCell ref="F20:H20"/>
    <mergeCell ref="J21:L21"/>
    <mergeCell ref="N37:P37"/>
    <mergeCell ref="B39:D39"/>
    <mergeCell ref="J40:L40"/>
    <mergeCell ref="N42:P42"/>
    <mergeCell ref="N48:P48"/>
    <mergeCell ref="N55:P55"/>
    <mergeCell ref="B81:D81"/>
    <mergeCell ref="F81:H81"/>
    <mergeCell ref="F43:H43"/>
    <mergeCell ref="B48:D48"/>
    <mergeCell ref="F49:H49"/>
    <mergeCell ref="B54:D54"/>
    <mergeCell ref="B60:D60"/>
    <mergeCell ref="N62:P62"/>
    <mergeCell ref="J60:L60"/>
  </mergeCells>
  <phoneticPr fontId="1" type="noConversion"/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S51"/>
  <sheetViews>
    <sheetView zoomScale="84" zoomScaleNormal="84" workbookViewId="0">
      <selection activeCell="L28" sqref="L28"/>
    </sheetView>
  </sheetViews>
  <sheetFormatPr defaultRowHeight="16.5" x14ac:dyDescent="0.3"/>
  <cols>
    <col min="1" max="1" width="9" style="131"/>
    <col min="2" max="2" width="24.125" style="131" bestFit="1" customWidth="1"/>
    <col min="3" max="3" width="13.625" style="131" customWidth="1"/>
    <col min="4" max="4" width="10.75" style="131" bestFit="1" customWidth="1"/>
    <col min="5" max="5" width="16.5" style="131" customWidth="1"/>
    <col min="6" max="6" width="9" style="131"/>
    <col min="7" max="7" width="37.125" style="131" customWidth="1"/>
    <col min="8" max="8" width="12.625" style="131" customWidth="1"/>
    <col min="9" max="9" width="13.875" style="131" customWidth="1"/>
    <col min="10" max="11" width="9" style="131"/>
    <col min="12" max="12" width="13.125" style="131" customWidth="1"/>
    <col min="13" max="13" width="21.5" style="131" bestFit="1" customWidth="1"/>
    <col min="14" max="14" width="16.625" style="131" customWidth="1"/>
    <col min="15" max="16" width="9" style="131"/>
    <col min="17" max="17" width="19.75" style="131" bestFit="1" customWidth="1"/>
    <col min="18" max="18" width="11.75" style="131" bestFit="1" customWidth="1"/>
    <col min="19" max="16384" width="9" style="131"/>
  </cols>
  <sheetData>
    <row r="2" spans="2:19" x14ac:dyDescent="0.3">
      <c r="B2" s="346" t="s">
        <v>587</v>
      </c>
      <c r="C2" s="346"/>
      <c r="D2" s="129"/>
      <c r="E2" s="130"/>
      <c r="F2" s="130"/>
      <c r="G2" s="129"/>
      <c r="H2" s="129"/>
      <c r="I2" s="129"/>
      <c r="J2" s="129"/>
      <c r="K2" s="129"/>
      <c r="L2" s="129"/>
      <c r="M2" s="129"/>
      <c r="N2" s="129"/>
      <c r="O2" s="129"/>
      <c r="P2" s="129"/>
    </row>
    <row r="3" spans="2:19" x14ac:dyDescent="0.3">
      <c r="B3" s="129"/>
      <c r="C3" s="129"/>
      <c r="D3" s="129"/>
      <c r="E3" s="130"/>
      <c r="F3" s="130"/>
      <c r="G3" s="129"/>
      <c r="H3" s="129"/>
      <c r="I3" s="129"/>
      <c r="J3" s="129"/>
      <c r="K3" s="129"/>
      <c r="L3" s="129"/>
      <c r="M3" s="129"/>
      <c r="N3" s="129"/>
      <c r="O3" s="129"/>
      <c r="P3" s="129"/>
    </row>
    <row r="4" spans="2:19" x14ac:dyDescent="0.3">
      <c r="B4" s="132" t="s">
        <v>588</v>
      </c>
      <c r="C4" s="133">
        <v>20</v>
      </c>
      <c r="D4" s="132" t="s">
        <v>461</v>
      </c>
      <c r="E4" s="130"/>
      <c r="F4" s="130"/>
      <c r="G4" s="129"/>
      <c r="H4" s="129"/>
      <c r="I4" s="129"/>
      <c r="J4" s="129"/>
      <c r="K4" s="129"/>
      <c r="L4" s="129"/>
      <c r="M4" s="129"/>
      <c r="N4" s="129"/>
      <c r="O4" s="129"/>
      <c r="P4" s="129"/>
    </row>
    <row r="5" spans="2:19" x14ac:dyDescent="0.3">
      <c r="B5" s="134" t="s">
        <v>589</v>
      </c>
      <c r="C5" s="135">
        <v>440</v>
      </c>
      <c r="D5" s="134" t="s">
        <v>308</v>
      </c>
      <c r="E5" s="130"/>
      <c r="F5" s="130"/>
      <c r="G5" s="347" t="s">
        <v>590</v>
      </c>
      <c r="H5" s="348"/>
      <c r="I5" s="349"/>
      <c r="J5" s="129"/>
      <c r="K5" s="129"/>
      <c r="L5" s="129"/>
      <c r="M5" s="129"/>
      <c r="N5" s="129"/>
      <c r="O5" s="129"/>
      <c r="P5" s="129"/>
      <c r="Q5" s="342" t="s">
        <v>543</v>
      </c>
      <c r="R5" s="342"/>
      <c r="S5" s="342"/>
    </row>
    <row r="6" spans="2:19" x14ac:dyDescent="0.3">
      <c r="B6" s="134" t="s">
        <v>591</v>
      </c>
      <c r="C6" s="136">
        <v>4.2000000000000003E-2</v>
      </c>
      <c r="D6" s="134"/>
      <c r="E6" s="130"/>
      <c r="F6" s="130"/>
      <c r="G6" s="132" t="s">
        <v>592</v>
      </c>
      <c r="H6" s="137">
        <v>19</v>
      </c>
      <c r="I6" s="132" t="s">
        <v>316</v>
      </c>
      <c r="J6" s="129"/>
      <c r="K6" s="129"/>
      <c r="L6" s="129"/>
      <c r="M6" s="138" t="s">
        <v>593</v>
      </c>
      <c r="N6" s="139" t="s">
        <v>594</v>
      </c>
      <c r="O6" s="138"/>
      <c r="P6" s="129"/>
      <c r="Q6" s="140" t="s">
        <v>595</v>
      </c>
      <c r="R6" s="141" t="s">
        <v>596</v>
      </c>
      <c r="S6" s="141"/>
    </row>
    <row r="7" spans="2:19" x14ac:dyDescent="0.3">
      <c r="B7" s="134" t="s">
        <v>597</v>
      </c>
      <c r="C7" s="142">
        <f>C5*C6</f>
        <v>18.48</v>
      </c>
      <c r="D7" s="134" t="s">
        <v>308</v>
      </c>
      <c r="E7" s="130"/>
      <c r="F7" s="130"/>
      <c r="G7" s="132" t="s">
        <v>598</v>
      </c>
      <c r="H7" s="137">
        <v>25</v>
      </c>
      <c r="I7" s="132" t="s">
        <v>599</v>
      </c>
      <c r="J7" s="129"/>
      <c r="K7" s="129"/>
      <c r="L7" s="129"/>
      <c r="M7" s="138" t="s">
        <v>600</v>
      </c>
      <c r="N7" s="143">
        <v>10</v>
      </c>
      <c r="O7" s="138" t="s">
        <v>601</v>
      </c>
      <c r="P7" s="129"/>
      <c r="Q7" s="144" t="s">
        <v>602</v>
      </c>
      <c r="R7" s="145">
        <v>1.75</v>
      </c>
      <c r="S7" s="144" t="s">
        <v>321</v>
      </c>
    </row>
    <row r="8" spans="2:19" x14ac:dyDescent="0.3">
      <c r="B8" s="134" t="s">
        <v>603</v>
      </c>
      <c r="C8" s="142">
        <f>(0.30137/(PI()/6))*100</f>
        <v>57.557430239525409</v>
      </c>
      <c r="D8" s="134" t="s">
        <v>347</v>
      </c>
      <c r="E8" s="130"/>
      <c r="F8" s="130"/>
      <c r="G8" s="132" t="s">
        <v>604</v>
      </c>
      <c r="H8" s="137">
        <v>83</v>
      </c>
      <c r="I8" s="132" t="s">
        <v>316</v>
      </c>
      <c r="J8" s="129"/>
      <c r="K8" s="129"/>
      <c r="L8" s="129"/>
      <c r="M8" s="138" t="s">
        <v>605</v>
      </c>
      <c r="N8" s="137">
        <v>21</v>
      </c>
      <c r="O8" s="138" t="s">
        <v>350</v>
      </c>
      <c r="P8" s="129"/>
      <c r="Q8" s="144" t="s">
        <v>606</v>
      </c>
      <c r="R8" s="146">
        <v>3.8999999999999998E-3</v>
      </c>
      <c r="S8" s="144" t="s">
        <v>607</v>
      </c>
    </row>
    <row r="9" spans="2:19" x14ac:dyDescent="0.3">
      <c r="B9" s="134" t="s">
        <v>608</v>
      </c>
      <c r="C9" s="135">
        <v>360</v>
      </c>
      <c r="D9" s="134" t="s">
        <v>340</v>
      </c>
      <c r="E9" s="130"/>
      <c r="F9" s="130"/>
      <c r="G9" s="132" t="s">
        <v>609</v>
      </c>
      <c r="H9" s="137">
        <v>50</v>
      </c>
      <c r="I9" s="132" t="s">
        <v>610</v>
      </c>
      <c r="J9" s="129"/>
      <c r="K9" s="129"/>
      <c r="L9" s="129"/>
      <c r="M9" s="138" t="s">
        <v>611</v>
      </c>
      <c r="N9" s="147">
        <v>1</v>
      </c>
      <c r="O9" s="138" t="s">
        <v>612</v>
      </c>
      <c r="P9" s="129"/>
      <c r="Q9" s="144" t="s">
        <v>613</v>
      </c>
      <c r="R9" s="148">
        <v>45</v>
      </c>
      <c r="S9" s="144" t="s">
        <v>344</v>
      </c>
    </row>
    <row r="10" spans="2:19" x14ac:dyDescent="0.3">
      <c r="B10" s="134" t="s">
        <v>614</v>
      </c>
      <c r="C10" s="142">
        <f>C8/100*1000/C9</f>
        <v>1.5988175066534835</v>
      </c>
      <c r="D10" s="134" t="s">
        <v>615</v>
      </c>
      <c r="E10" s="130"/>
      <c r="F10" s="130"/>
      <c r="G10" s="132" t="s">
        <v>616</v>
      </c>
      <c r="H10" s="149">
        <f>2*H6+H7</f>
        <v>63</v>
      </c>
      <c r="I10" s="132" t="s">
        <v>617</v>
      </c>
      <c r="J10" s="129"/>
      <c r="K10" s="129"/>
      <c r="L10" s="129"/>
      <c r="M10" s="138" t="s">
        <v>618</v>
      </c>
      <c r="N10" s="150">
        <f>C14/N7</f>
        <v>3.7398004529952571</v>
      </c>
      <c r="O10" s="138" t="s">
        <v>619</v>
      </c>
      <c r="P10" s="129"/>
      <c r="Q10" s="144" t="s">
        <v>351</v>
      </c>
      <c r="R10" s="146">
        <f>R7*(1+R8*(R9-20))</f>
        <v>1.9206249999999998</v>
      </c>
      <c r="S10" s="144" t="s">
        <v>620</v>
      </c>
    </row>
    <row r="11" spans="2:19" x14ac:dyDescent="0.3">
      <c r="B11" s="134" t="s">
        <v>621</v>
      </c>
      <c r="C11" s="151">
        <v>90</v>
      </c>
      <c r="D11" s="134" t="s">
        <v>347</v>
      </c>
      <c r="E11" s="130"/>
      <c r="F11" s="130"/>
      <c r="G11" s="152" t="s">
        <v>622</v>
      </c>
      <c r="H11" s="153">
        <f>H10+E38*2</f>
        <v>66.400000000000006</v>
      </c>
      <c r="I11" s="132" t="s">
        <v>617</v>
      </c>
      <c r="J11" s="129"/>
      <c r="K11" s="129"/>
      <c r="L11" s="129"/>
      <c r="M11" s="129"/>
      <c r="N11" s="129"/>
      <c r="O11" s="129"/>
      <c r="P11" s="129"/>
      <c r="Q11" s="144" t="s">
        <v>623</v>
      </c>
      <c r="R11" s="154">
        <f>1/(R10/100000000)</f>
        <v>52066384.64041654</v>
      </c>
      <c r="S11" s="144" t="s">
        <v>624</v>
      </c>
    </row>
    <row r="12" spans="2:19" x14ac:dyDescent="0.3">
      <c r="B12" s="134" t="s">
        <v>625</v>
      </c>
      <c r="C12" s="142">
        <f>C5*C11/100</f>
        <v>396</v>
      </c>
      <c r="D12" s="134" t="s">
        <v>626</v>
      </c>
      <c r="E12" s="130"/>
      <c r="F12" s="130"/>
      <c r="G12" s="132"/>
      <c r="H12" s="149"/>
      <c r="I12" s="132"/>
      <c r="J12" s="129"/>
      <c r="K12" s="129"/>
      <c r="L12" s="129"/>
      <c r="M12" s="132" t="s">
        <v>627</v>
      </c>
      <c r="N12" s="132"/>
      <c r="O12" s="132"/>
      <c r="P12" s="129"/>
      <c r="Q12" s="144" t="s">
        <v>628</v>
      </c>
      <c r="R12" s="141">
        <v>1</v>
      </c>
      <c r="S12" s="144" t="s">
        <v>629</v>
      </c>
    </row>
    <row r="13" spans="2:19" x14ac:dyDescent="0.3">
      <c r="B13" s="134" t="s">
        <v>630</v>
      </c>
      <c r="C13" s="142">
        <f>C12*2^0.5*3/PI()</f>
        <v>534.78789179732109</v>
      </c>
      <c r="D13" s="134" t="s">
        <v>308</v>
      </c>
      <c r="E13" s="130"/>
      <c r="F13" s="130"/>
      <c r="G13" s="155" t="s">
        <v>631</v>
      </c>
      <c r="H13" s="156">
        <v>96</v>
      </c>
      <c r="I13" s="155" t="s">
        <v>632</v>
      </c>
      <c r="J13" s="129"/>
      <c r="K13" s="129"/>
      <c r="L13" s="129"/>
      <c r="M13" s="132" t="s">
        <v>633</v>
      </c>
      <c r="N13" s="157">
        <f>C7*C10</f>
        <v>29.546147522956378</v>
      </c>
      <c r="O13" s="132" t="s">
        <v>634</v>
      </c>
      <c r="P13" s="129"/>
      <c r="Q13" s="144" t="s">
        <v>382</v>
      </c>
      <c r="R13" s="158">
        <v>17304</v>
      </c>
      <c r="S13" s="144" t="s">
        <v>521</v>
      </c>
    </row>
    <row r="14" spans="2:19" x14ac:dyDescent="0.3">
      <c r="B14" s="134" t="s">
        <v>635</v>
      </c>
      <c r="C14" s="142">
        <f>C4/C13*1000</f>
        <v>37.398004529952573</v>
      </c>
      <c r="D14" s="134" t="s">
        <v>636</v>
      </c>
      <c r="E14" s="130"/>
      <c r="F14" s="130"/>
      <c r="G14" s="156" t="s">
        <v>637</v>
      </c>
      <c r="H14" s="159">
        <f>2*H6+H8</f>
        <v>121</v>
      </c>
      <c r="I14" s="156" t="s">
        <v>316</v>
      </c>
      <c r="J14" s="129"/>
      <c r="K14" s="129"/>
      <c r="L14" s="129"/>
      <c r="M14" s="129"/>
      <c r="N14" s="129"/>
      <c r="O14" s="129"/>
      <c r="P14" s="129"/>
      <c r="Q14" s="144" t="s">
        <v>638</v>
      </c>
      <c r="R14" s="158">
        <v>3</v>
      </c>
      <c r="S14" s="144" t="s">
        <v>639</v>
      </c>
    </row>
    <row r="15" spans="2:19" x14ac:dyDescent="0.3">
      <c r="B15" s="134" t="s">
        <v>640</v>
      </c>
      <c r="C15" s="135">
        <v>45</v>
      </c>
      <c r="D15" s="134" t="s">
        <v>347</v>
      </c>
      <c r="E15" s="130"/>
      <c r="F15" s="130"/>
      <c r="G15" s="152" t="s">
        <v>641</v>
      </c>
      <c r="H15" s="137">
        <v>8</v>
      </c>
      <c r="I15" s="152" t="s">
        <v>642</v>
      </c>
      <c r="J15" s="129"/>
      <c r="K15" s="129"/>
      <c r="L15" s="129"/>
      <c r="M15" s="129"/>
      <c r="N15" s="129"/>
      <c r="O15" s="129"/>
      <c r="P15" s="129"/>
      <c r="Q15" s="144" t="s">
        <v>643</v>
      </c>
      <c r="R15" s="158">
        <v>10</v>
      </c>
      <c r="S15" s="144" t="s">
        <v>521</v>
      </c>
    </row>
    <row r="16" spans="2:19" x14ac:dyDescent="0.3">
      <c r="B16" s="134" t="s">
        <v>644</v>
      </c>
      <c r="C16" s="142">
        <f>C14*C15/100</f>
        <v>16.829102038478659</v>
      </c>
      <c r="D16" s="134" t="s">
        <v>325</v>
      </c>
      <c r="E16" s="130"/>
      <c r="F16" s="130"/>
      <c r="G16" s="132" t="s">
        <v>645</v>
      </c>
      <c r="H16" s="160">
        <f>(H6)*H9/100*H13/100</f>
        <v>9.1199999999999992</v>
      </c>
      <c r="I16" s="132" t="s">
        <v>646</v>
      </c>
      <c r="J16" s="161" t="s">
        <v>647</v>
      </c>
      <c r="K16" s="129"/>
      <c r="L16" s="129"/>
      <c r="M16" s="129"/>
      <c r="N16" s="129"/>
      <c r="O16" s="129"/>
      <c r="P16" s="129"/>
      <c r="Q16" s="144" t="s">
        <v>401</v>
      </c>
      <c r="R16" s="162">
        <f>R14*R15</f>
        <v>30</v>
      </c>
      <c r="S16" s="144" t="s">
        <v>648</v>
      </c>
    </row>
    <row r="17" spans="2:19" x14ac:dyDescent="0.3">
      <c r="B17" s="134" t="s">
        <v>649</v>
      </c>
      <c r="C17" s="142">
        <f>C7*C10/C16</f>
        <v>1.7556579938371646</v>
      </c>
      <c r="D17" s="134" t="s">
        <v>650</v>
      </c>
      <c r="E17" s="130"/>
      <c r="F17" s="130"/>
      <c r="G17" s="132" t="s">
        <v>651</v>
      </c>
      <c r="H17" s="132">
        <f>(H10*H14*H9-H8*H7*H9)/1000*7.83/1000</f>
        <v>2.1720419999999998</v>
      </c>
      <c r="I17" s="132" t="s">
        <v>652</v>
      </c>
      <c r="J17" s="163">
        <f>H17*2200/10000</f>
        <v>0.4778492399999999</v>
      </c>
      <c r="K17" s="129" t="s">
        <v>653</v>
      </c>
      <c r="L17" s="129"/>
      <c r="M17" s="129"/>
      <c r="N17" s="129"/>
      <c r="O17" s="129"/>
      <c r="P17" s="129"/>
      <c r="Q17" s="144" t="s">
        <v>408</v>
      </c>
      <c r="R17" s="158">
        <v>130</v>
      </c>
      <c r="S17" s="164" t="s">
        <v>654</v>
      </c>
    </row>
    <row r="18" spans="2:19" x14ac:dyDescent="0.3">
      <c r="B18" s="134" t="s">
        <v>655</v>
      </c>
      <c r="C18" s="135">
        <v>88.7</v>
      </c>
      <c r="D18" s="134" t="s">
        <v>656</v>
      </c>
      <c r="E18" s="130"/>
      <c r="F18" s="130"/>
      <c r="G18" s="165"/>
      <c r="H18" s="165"/>
      <c r="I18" s="165"/>
      <c r="J18" s="166" t="s">
        <v>657</v>
      </c>
      <c r="K18" s="129"/>
      <c r="L18" s="129"/>
      <c r="M18" s="167"/>
      <c r="N18" s="129"/>
      <c r="O18" s="129"/>
      <c r="P18" s="129"/>
      <c r="Q18" s="144" t="s">
        <v>658</v>
      </c>
      <c r="R18" s="168">
        <f>R17/R16</f>
        <v>4.333333333333333</v>
      </c>
      <c r="S18" s="164" t="s">
        <v>410</v>
      </c>
    </row>
    <row r="19" spans="2:19" x14ac:dyDescent="0.3">
      <c r="B19" s="134" t="s">
        <v>659</v>
      </c>
      <c r="C19" s="142">
        <f>(4*PI()^2*C17/1000*C18^2)^-1*1000000</f>
        <v>1833.8048008334265</v>
      </c>
      <c r="D19" s="134" t="s">
        <v>336</v>
      </c>
      <c r="E19" s="130"/>
      <c r="F19" s="130"/>
      <c r="G19" s="161"/>
      <c r="H19" s="161"/>
      <c r="I19" s="161"/>
      <c r="J19" s="129">
        <f>H17*13.32</f>
        <v>28.931599439999999</v>
      </c>
      <c r="K19" s="166" t="s">
        <v>661</v>
      </c>
      <c r="L19" s="129"/>
      <c r="M19" s="167" t="s">
        <v>662</v>
      </c>
      <c r="N19" s="129"/>
      <c r="O19" s="129"/>
      <c r="P19" s="129"/>
      <c r="Q19" s="144" t="s">
        <v>663</v>
      </c>
      <c r="R19" s="169">
        <f>R10/100000000*(R17^2)/(R16/1000000)*R13/1000</f>
        <v>187.22098849999998</v>
      </c>
      <c r="S19" s="164" t="s">
        <v>664</v>
      </c>
    </row>
    <row r="20" spans="2:19" x14ac:dyDescent="0.3">
      <c r="B20" s="132" t="s">
        <v>665</v>
      </c>
      <c r="C20" s="132">
        <f>C14*1.5</f>
        <v>56.097006794928859</v>
      </c>
      <c r="D20" s="132" t="s">
        <v>325</v>
      </c>
      <c r="E20" s="130"/>
      <c r="F20" s="130"/>
      <c r="G20" s="161"/>
      <c r="H20" s="161"/>
      <c r="I20" s="161"/>
      <c r="J20" s="129"/>
      <c r="K20" s="129"/>
      <c r="L20" s="129"/>
      <c r="M20" s="132" t="s">
        <v>666</v>
      </c>
      <c r="N20" s="132">
        <v>2000</v>
      </c>
      <c r="O20" s="132" t="s">
        <v>336</v>
      </c>
      <c r="P20" s="129"/>
    </row>
    <row r="21" spans="2:19" x14ac:dyDescent="0.3">
      <c r="B21" s="152" t="s">
        <v>667</v>
      </c>
      <c r="C21" s="132">
        <f>(C5*2^0.5)^2/(C4*1000)</f>
        <v>19.36</v>
      </c>
      <c r="D21" s="152" t="s">
        <v>668</v>
      </c>
      <c r="E21" s="130"/>
      <c r="F21" s="130"/>
      <c r="G21" s="161"/>
      <c r="H21" s="161"/>
      <c r="I21" s="161"/>
      <c r="J21" s="129"/>
      <c r="K21" s="129"/>
      <c r="L21" s="129"/>
      <c r="M21" s="132" t="s">
        <v>669</v>
      </c>
      <c r="N21" s="132">
        <v>1200</v>
      </c>
      <c r="O21" s="132" t="s">
        <v>313</v>
      </c>
      <c r="P21" s="129"/>
    </row>
    <row r="22" spans="2:19" x14ac:dyDescent="0.3">
      <c r="B22" s="152" t="s">
        <v>670</v>
      </c>
      <c r="C22" s="132">
        <f>(C17*1000/C19)^0.5</f>
        <v>0.9784607441532025</v>
      </c>
      <c r="D22" s="152" t="s">
        <v>668</v>
      </c>
      <c r="E22" s="130"/>
      <c r="F22" s="130"/>
      <c r="G22" s="161"/>
      <c r="H22" s="161"/>
      <c r="I22" s="161"/>
      <c r="J22" s="129"/>
      <c r="K22" s="129"/>
      <c r="L22" s="129"/>
      <c r="M22" s="132" t="s">
        <v>671</v>
      </c>
      <c r="N22" s="132">
        <f>1/(2*3.14*SQRT((N20/1000000)*(N21/1000000)))</f>
        <v>102.78618222418835</v>
      </c>
      <c r="O22" s="132" t="s">
        <v>672</v>
      </c>
      <c r="P22" s="129"/>
    </row>
    <row r="23" spans="2:19" x14ac:dyDescent="0.3">
      <c r="B23" s="152" t="s">
        <v>18</v>
      </c>
      <c r="C23" s="132">
        <f>C22/C21</f>
        <v>5.0540327693863768E-2</v>
      </c>
      <c r="D23" s="132"/>
      <c r="E23" s="130"/>
      <c r="F23" s="130"/>
      <c r="G23" s="170"/>
      <c r="H23" s="170"/>
      <c r="I23" s="170"/>
      <c r="J23" s="129"/>
      <c r="K23" s="129"/>
      <c r="L23" s="129"/>
      <c r="M23" s="130"/>
      <c r="N23" s="130"/>
      <c r="O23" s="130"/>
      <c r="P23" s="129"/>
    </row>
    <row r="24" spans="2:19" x14ac:dyDescent="0.3">
      <c r="B24" s="132"/>
      <c r="C24" s="132"/>
      <c r="D24" s="132"/>
      <c r="E24" s="130"/>
      <c r="F24" s="130"/>
      <c r="G24" s="132" t="s">
        <v>673</v>
      </c>
      <c r="H24" s="132">
        <f>H16*H7*H8/100</f>
        <v>189.23999999999995</v>
      </c>
      <c r="I24" s="132" t="s">
        <v>674</v>
      </c>
      <c r="J24" s="166" t="s">
        <v>675</v>
      </c>
      <c r="K24" s="129"/>
      <c r="L24" s="129"/>
      <c r="M24" s="130"/>
      <c r="N24" s="130"/>
      <c r="O24" s="130"/>
      <c r="P24" s="129"/>
    </row>
    <row r="25" spans="2:19" x14ac:dyDescent="0.3">
      <c r="B25" s="132" t="s">
        <v>676</v>
      </c>
      <c r="C25" s="133">
        <v>1.5</v>
      </c>
      <c r="D25" s="132" t="s">
        <v>677</v>
      </c>
      <c r="E25" s="130"/>
      <c r="F25" s="130"/>
      <c r="G25" s="132" t="s">
        <v>678</v>
      </c>
      <c r="H25" s="132">
        <f>(H9*2+3.14*(H6+H7/2))/10</f>
        <v>19.891000000000002</v>
      </c>
      <c r="I25" s="132" t="s">
        <v>679</v>
      </c>
      <c r="J25" s="171">
        <f>R19</f>
        <v>187.22098849999998</v>
      </c>
      <c r="K25" s="166" t="s">
        <v>660</v>
      </c>
      <c r="L25" s="129"/>
      <c r="M25" s="167" t="s">
        <v>662</v>
      </c>
      <c r="N25" s="129"/>
      <c r="O25" s="129"/>
      <c r="P25" s="129"/>
    </row>
    <row r="26" spans="2:19" x14ac:dyDescent="0.3">
      <c r="B26" s="132" t="s">
        <v>680</v>
      </c>
      <c r="C26" s="132">
        <v>50</v>
      </c>
      <c r="D26" s="132" t="s">
        <v>344</v>
      </c>
      <c r="E26" s="130"/>
      <c r="F26" s="130"/>
      <c r="G26" s="132" t="s">
        <v>681</v>
      </c>
      <c r="H26" s="132">
        <f>H16</f>
        <v>9.1199999999999992</v>
      </c>
      <c r="I26" s="132" t="s">
        <v>682</v>
      </c>
      <c r="J26" s="129"/>
      <c r="K26" s="129"/>
      <c r="L26" s="129"/>
      <c r="M26" s="132" t="s">
        <v>666</v>
      </c>
      <c r="N26" s="132">
        <v>2000</v>
      </c>
      <c r="O26" s="132" t="s">
        <v>336</v>
      </c>
      <c r="P26" s="129"/>
    </row>
    <row r="27" spans="2:19" x14ac:dyDescent="0.3">
      <c r="B27" s="132" t="s">
        <v>683</v>
      </c>
      <c r="C27" s="142" t="s">
        <v>684</v>
      </c>
      <c r="D27" s="132"/>
      <c r="E27" s="130"/>
      <c r="F27" s="130"/>
      <c r="G27" s="132" t="s">
        <v>685</v>
      </c>
      <c r="H27" s="132">
        <f>H7*H8/100</f>
        <v>20.75</v>
      </c>
      <c r="I27" s="132" t="s">
        <v>682</v>
      </c>
      <c r="J27" s="166" t="s">
        <v>686</v>
      </c>
      <c r="K27" s="129"/>
      <c r="L27" s="129"/>
      <c r="M27" s="132" t="s">
        <v>687</v>
      </c>
      <c r="N27" s="132">
        <v>1375</v>
      </c>
      <c r="O27" s="132" t="s">
        <v>313</v>
      </c>
      <c r="P27" s="129"/>
    </row>
    <row r="28" spans="2:19" x14ac:dyDescent="0.3">
      <c r="B28" s="152" t="s">
        <v>688</v>
      </c>
      <c r="C28" s="172" t="s">
        <v>689</v>
      </c>
      <c r="D28" s="132"/>
      <c r="E28" s="130"/>
      <c r="F28" s="130"/>
      <c r="G28" s="132" t="s">
        <v>690</v>
      </c>
      <c r="H28" s="132">
        <f>(2*H14*2*H10 + H9*(2*H14+4*H10))/100</f>
        <v>551.91999999999996</v>
      </c>
      <c r="I28" s="132" t="s">
        <v>562</v>
      </c>
      <c r="J28" s="171">
        <f>J19+J25</f>
        <v>216.15258793999999</v>
      </c>
      <c r="K28" s="166" t="s">
        <v>660</v>
      </c>
      <c r="L28" s="129"/>
      <c r="M28" s="132" t="s">
        <v>671</v>
      </c>
      <c r="N28" s="132">
        <f>1/(2*3.14*SQRT((N26/1000000)*(N27/1000000)))</f>
        <v>96.022721203109441</v>
      </c>
      <c r="O28" s="132" t="s">
        <v>380</v>
      </c>
      <c r="P28" s="129"/>
    </row>
    <row r="29" spans="2:19" x14ac:dyDescent="0.3">
      <c r="B29" s="132" t="s">
        <v>691</v>
      </c>
      <c r="C29" s="132">
        <f>C25*C16/C20</f>
        <v>0.45</v>
      </c>
      <c r="D29" s="132" t="s">
        <v>318</v>
      </c>
      <c r="E29" s="130"/>
      <c r="F29" s="130"/>
      <c r="G29" s="173"/>
      <c r="H29" s="173"/>
      <c r="I29" s="173"/>
      <c r="J29" s="129"/>
      <c r="K29" s="129"/>
      <c r="L29" s="129"/>
      <c r="M29" s="167" t="s">
        <v>692</v>
      </c>
      <c r="N29" s="129"/>
      <c r="O29" s="129"/>
      <c r="P29" s="129"/>
    </row>
    <row r="30" spans="2:19" x14ac:dyDescent="0.3">
      <c r="B30" s="132" t="s">
        <v>693</v>
      </c>
      <c r="C30" s="174" t="s">
        <v>694</v>
      </c>
      <c r="D30" s="132"/>
      <c r="E30" s="130"/>
      <c r="F30" s="130"/>
      <c r="G30" s="132" t="s">
        <v>695</v>
      </c>
      <c r="H30" s="132">
        <f>H8/10</f>
        <v>8.3000000000000007</v>
      </c>
      <c r="I30" s="132" t="s">
        <v>696</v>
      </c>
      <c r="J30" s="166" t="s">
        <v>697</v>
      </c>
      <c r="K30" s="129"/>
      <c r="L30" s="129"/>
      <c r="M30" s="132" t="s">
        <v>698</v>
      </c>
      <c r="N30" s="132">
        <v>17848</v>
      </c>
      <c r="O30" s="132" t="s">
        <v>699</v>
      </c>
      <c r="P30" s="129"/>
    </row>
    <row r="31" spans="2:19" x14ac:dyDescent="0.3">
      <c r="B31" s="132" t="s">
        <v>645</v>
      </c>
      <c r="C31" s="160">
        <f>H16</f>
        <v>9.1199999999999992</v>
      </c>
      <c r="D31" s="132" t="s">
        <v>700</v>
      </c>
      <c r="E31" s="130"/>
      <c r="F31" s="130"/>
      <c r="G31" s="173"/>
      <c r="H31" s="173"/>
      <c r="I31" s="173"/>
      <c r="J31" s="175">
        <f>J28/(C4*1000)*100</f>
        <v>1.0807629397</v>
      </c>
      <c r="K31" s="166" t="s">
        <v>347</v>
      </c>
      <c r="L31" s="129"/>
      <c r="M31" s="132" t="s">
        <v>701</v>
      </c>
      <c r="N31" s="132">
        <v>20942</v>
      </c>
      <c r="O31" s="132" t="s">
        <v>699</v>
      </c>
      <c r="P31" s="129"/>
    </row>
    <row r="32" spans="2:19" x14ac:dyDescent="0.3">
      <c r="B32" s="132" t="s">
        <v>702</v>
      </c>
      <c r="C32" s="132">
        <v>1</v>
      </c>
      <c r="D32" s="132" t="s">
        <v>703</v>
      </c>
      <c r="E32" s="130"/>
      <c r="F32" s="130"/>
      <c r="G32" s="132" t="s">
        <v>704</v>
      </c>
      <c r="H32" s="132">
        <f>C32</f>
        <v>1</v>
      </c>
      <c r="I32" s="132" t="s">
        <v>703</v>
      </c>
      <c r="J32" s="129"/>
      <c r="K32" s="129"/>
      <c r="L32" s="129"/>
      <c r="M32" s="132" t="s">
        <v>705</v>
      </c>
      <c r="N32" s="132">
        <v>15468</v>
      </c>
      <c r="O32" s="132" t="s">
        <v>699</v>
      </c>
      <c r="P32" s="129"/>
    </row>
    <row r="33" spans="2:16" x14ac:dyDescent="0.3">
      <c r="B33" s="132" t="s">
        <v>706</v>
      </c>
      <c r="C33" s="132">
        <f>C31*C32</f>
        <v>9.1199999999999992</v>
      </c>
      <c r="D33" s="132" t="s">
        <v>562</v>
      </c>
      <c r="E33" s="130"/>
      <c r="F33" s="130"/>
      <c r="G33" s="132" t="s">
        <v>707</v>
      </c>
      <c r="H33" s="132">
        <f>H24*H32</f>
        <v>189.23999999999995</v>
      </c>
      <c r="I33" s="132" t="s">
        <v>674</v>
      </c>
      <c r="J33" s="129"/>
      <c r="K33" s="129"/>
      <c r="L33" s="129"/>
      <c r="M33" s="132" t="s">
        <v>708</v>
      </c>
      <c r="N33" s="132">
        <v>18086</v>
      </c>
      <c r="O33" s="132" t="s">
        <v>709</v>
      </c>
      <c r="P33" s="129"/>
    </row>
    <row r="34" spans="2:16" x14ac:dyDescent="0.3">
      <c r="B34" s="132"/>
      <c r="C34" s="132"/>
      <c r="D34" s="132"/>
      <c r="E34" s="130"/>
      <c r="F34" s="130"/>
      <c r="G34" s="132" t="s">
        <v>710</v>
      </c>
      <c r="H34" s="132">
        <f>H26*H32</f>
        <v>9.1199999999999992</v>
      </c>
      <c r="I34" s="132" t="s">
        <v>711</v>
      </c>
      <c r="J34" s="129" t="s">
        <v>712</v>
      </c>
      <c r="K34" s="129"/>
      <c r="L34" s="129"/>
      <c r="M34" s="149" t="s">
        <v>713</v>
      </c>
      <c r="N34" s="149">
        <v>12475</v>
      </c>
      <c r="O34" s="149" t="s">
        <v>714</v>
      </c>
      <c r="P34" s="129"/>
    </row>
    <row r="35" spans="2:16" x14ac:dyDescent="0.3">
      <c r="B35" s="132" t="s">
        <v>715</v>
      </c>
      <c r="C35" s="150">
        <f>ROUNDUP(C7*C10/1000*10000/C29/C33,0)</f>
        <v>72</v>
      </c>
      <c r="D35" s="132" t="s">
        <v>305</v>
      </c>
      <c r="E35" s="130"/>
      <c r="F35" s="130"/>
      <c r="G35" s="132" t="s">
        <v>716</v>
      </c>
      <c r="H35" s="132">
        <f>H25</f>
        <v>19.891000000000002</v>
      </c>
      <c r="I35" s="132" t="s">
        <v>717</v>
      </c>
      <c r="J35" s="129">
        <v>17.3</v>
      </c>
      <c r="K35" s="129" t="s">
        <v>718</v>
      </c>
      <c r="L35" s="129"/>
      <c r="M35" s="149" t="s">
        <v>719</v>
      </c>
      <c r="N35" s="149">
        <v>7900</v>
      </c>
      <c r="O35" s="149" t="s">
        <v>709</v>
      </c>
      <c r="P35" s="129"/>
    </row>
    <row r="36" spans="2:16" x14ac:dyDescent="0.3">
      <c r="B36" s="132" t="s">
        <v>720</v>
      </c>
      <c r="C36" s="132">
        <f>ROUNDUP(0.4*3.1416*C35*C20/10000/C25,2)</f>
        <v>0.34</v>
      </c>
      <c r="D36" s="132" t="s">
        <v>721</v>
      </c>
      <c r="E36" s="130"/>
      <c r="F36" s="161"/>
      <c r="G36" s="132" t="s">
        <v>722</v>
      </c>
      <c r="H36" s="132">
        <f>H17*H32</f>
        <v>2.1720419999999998</v>
      </c>
      <c r="I36" s="132" t="s">
        <v>723</v>
      </c>
      <c r="J36" s="176">
        <v>3000</v>
      </c>
      <c r="K36" s="177" t="s">
        <v>699</v>
      </c>
      <c r="L36" s="177"/>
      <c r="M36" s="149" t="s">
        <v>724</v>
      </c>
      <c r="N36" s="149">
        <v>10200</v>
      </c>
      <c r="O36" s="132" t="s">
        <v>699</v>
      </c>
      <c r="P36" s="177"/>
    </row>
    <row r="37" spans="2:16" x14ac:dyDescent="0.3">
      <c r="B37" s="132" t="s">
        <v>725</v>
      </c>
      <c r="C37" s="178">
        <v>2</v>
      </c>
      <c r="D37" s="132"/>
      <c r="E37" s="179" t="s">
        <v>726</v>
      </c>
      <c r="F37" s="161"/>
      <c r="G37" s="129"/>
      <c r="H37" s="129"/>
      <c r="I37" s="130"/>
      <c r="J37" s="176">
        <f>J35*J36/10000</f>
        <v>5.19</v>
      </c>
      <c r="K37" s="177" t="s">
        <v>653</v>
      </c>
      <c r="L37" s="177"/>
      <c r="M37" s="180" t="s">
        <v>727</v>
      </c>
      <c r="N37" s="149">
        <v>6850</v>
      </c>
      <c r="O37" s="149" t="s">
        <v>714</v>
      </c>
      <c r="P37" s="177"/>
    </row>
    <row r="38" spans="2:16" x14ac:dyDescent="0.3">
      <c r="B38" s="132" t="s">
        <v>728</v>
      </c>
      <c r="C38" s="181">
        <f>C36/C37</f>
        <v>0.17</v>
      </c>
      <c r="D38" s="132" t="s">
        <v>721</v>
      </c>
      <c r="E38" s="182">
        <v>1.7</v>
      </c>
      <c r="F38" s="183" t="s">
        <v>729</v>
      </c>
      <c r="G38" s="129"/>
      <c r="H38" s="129"/>
      <c r="I38" s="129"/>
      <c r="J38" s="176" t="s">
        <v>730</v>
      </c>
      <c r="K38" s="177"/>
      <c r="L38" s="177"/>
      <c r="M38" s="152" t="s">
        <v>731</v>
      </c>
      <c r="N38" s="132">
        <v>5200</v>
      </c>
      <c r="O38" s="132" t="s">
        <v>699</v>
      </c>
      <c r="P38" s="177"/>
    </row>
    <row r="39" spans="2:16" x14ac:dyDescent="0.3">
      <c r="B39" s="132" t="s">
        <v>732</v>
      </c>
      <c r="C39" s="132">
        <f>C38/H6*10*100</f>
        <v>8.9473684210526336</v>
      </c>
      <c r="D39" s="138" t="s">
        <v>733</v>
      </c>
      <c r="E39" s="130"/>
      <c r="F39" s="130"/>
      <c r="G39" s="129"/>
      <c r="H39" s="129"/>
      <c r="I39" s="129"/>
      <c r="J39" s="176">
        <f>J17+J37</f>
        <v>5.6678492400000007</v>
      </c>
      <c r="K39" s="177" t="s">
        <v>734</v>
      </c>
      <c r="L39" s="177"/>
      <c r="M39" s="149" t="s">
        <v>735</v>
      </c>
      <c r="N39" s="149">
        <v>5200</v>
      </c>
      <c r="O39" s="149" t="s">
        <v>709</v>
      </c>
      <c r="P39" s="177"/>
    </row>
    <row r="40" spans="2:16" x14ac:dyDescent="0.3">
      <c r="B40" s="132" t="s">
        <v>736</v>
      </c>
      <c r="C40" s="181">
        <f>0.000000004*PI()*C35^2*C33/C36*1000000</f>
        <v>1747.3937506333</v>
      </c>
      <c r="D40" s="132" t="s">
        <v>737</v>
      </c>
      <c r="E40" s="130"/>
      <c r="F40" s="130"/>
      <c r="G40" s="129"/>
      <c r="H40" s="129"/>
      <c r="I40" s="129"/>
      <c r="J40" s="184"/>
      <c r="K40" s="177"/>
      <c r="L40" s="177"/>
      <c r="M40" s="180" t="s">
        <v>738</v>
      </c>
      <c r="N40" s="149">
        <v>3780</v>
      </c>
      <c r="O40" s="149" t="s">
        <v>709</v>
      </c>
      <c r="P40" s="177"/>
    </row>
    <row r="41" spans="2:16" x14ac:dyDescent="0.3">
      <c r="B41" s="132" t="s">
        <v>739</v>
      </c>
      <c r="C41" s="132">
        <f>1+C38/C33^0.5*LN(2*H30/C38)</f>
        <v>1.2578967552260347</v>
      </c>
      <c r="D41" s="132"/>
      <c r="E41" s="179" t="s">
        <v>740</v>
      </c>
      <c r="F41" s="130"/>
      <c r="G41" s="129"/>
      <c r="H41" s="129"/>
      <c r="I41" s="129"/>
      <c r="J41" s="184"/>
      <c r="K41" s="177"/>
      <c r="L41" s="177"/>
      <c r="M41" s="185" t="s">
        <v>741</v>
      </c>
      <c r="N41" s="186">
        <v>3000</v>
      </c>
      <c r="O41" s="186" t="s">
        <v>714</v>
      </c>
      <c r="P41" s="177"/>
    </row>
    <row r="42" spans="2:16" x14ac:dyDescent="0.3">
      <c r="B42" s="132" t="s">
        <v>742</v>
      </c>
      <c r="C42" s="187">
        <f>C17*C41*1000</f>
        <v>2208.4364937344189</v>
      </c>
      <c r="D42" s="132" t="s">
        <v>743</v>
      </c>
      <c r="E42" s="179" t="s">
        <v>744</v>
      </c>
      <c r="F42" s="130"/>
      <c r="G42" s="129"/>
      <c r="H42" s="129"/>
      <c r="I42" s="129"/>
      <c r="J42" s="184"/>
      <c r="K42" s="177"/>
      <c r="L42" s="177"/>
      <c r="M42" s="177"/>
      <c r="N42" s="177"/>
      <c r="O42" s="177"/>
      <c r="P42" s="177"/>
    </row>
    <row r="43" spans="2:16" x14ac:dyDescent="0.3">
      <c r="B43" s="132"/>
      <c r="C43" s="132"/>
      <c r="D43" s="132"/>
      <c r="E43" s="130"/>
      <c r="F43" s="130"/>
      <c r="G43" s="129"/>
      <c r="H43" s="129"/>
      <c r="I43" s="129"/>
      <c r="J43" s="184"/>
      <c r="K43" s="177"/>
      <c r="L43" s="177"/>
      <c r="M43" s="177"/>
      <c r="N43" s="177"/>
      <c r="O43" s="177"/>
      <c r="P43" s="177"/>
    </row>
    <row r="44" spans="2:16" hidden="1" x14ac:dyDescent="0.3">
      <c r="B44" s="132" t="s">
        <v>745</v>
      </c>
      <c r="C44" s="132">
        <v>40</v>
      </c>
      <c r="D44" s="132" t="s">
        <v>746</v>
      </c>
      <c r="E44" s="130"/>
      <c r="F44" s="130"/>
      <c r="G44" s="177"/>
      <c r="H44" s="177"/>
      <c r="I44" s="177"/>
      <c r="J44" s="184"/>
      <c r="K44" s="177"/>
      <c r="L44" s="177"/>
      <c r="M44" s="177"/>
      <c r="N44" s="177"/>
      <c r="O44" s="177"/>
      <c r="P44" s="177"/>
    </row>
    <row r="45" spans="2:16" hidden="1" x14ac:dyDescent="0.3">
      <c r="B45" s="132" t="s">
        <v>747</v>
      </c>
      <c r="C45" s="132">
        <v>4</v>
      </c>
      <c r="D45" s="132" t="s">
        <v>729</v>
      </c>
      <c r="E45" s="130"/>
      <c r="F45" s="130"/>
      <c r="G45" s="177"/>
      <c r="H45" s="177"/>
      <c r="I45" s="177"/>
      <c r="J45" s="184"/>
      <c r="K45" s="177"/>
      <c r="L45" s="177"/>
      <c r="M45" s="177"/>
      <c r="N45" s="177"/>
      <c r="O45" s="177"/>
      <c r="P45" s="177"/>
    </row>
    <row r="46" spans="2:16" hidden="1" x14ac:dyDescent="0.3">
      <c r="B46" s="132" t="s">
        <v>748</v>
      </c>
      <c r="C46" s="132">
        <f>C44*C45</f>
        <v>160</v>
      </c>
      <c r="D46" s="132" t="s">
        <v>532</v>
      </c>
      <c r="E46" s="130"/>
      <c r="F46" s="130"/>
      <c r="G46" s="177"/>
      <c r="H46" s="177"/>
      <c r="I46" s="177"/>
      <c r="J46" s="184"/>
      <c r="K46" s="177"/>
      <c r="L46" s="177"/>
      <c r="M46" s="177"/>
      <c r="N46" s="177"/>
      <c r="O46" s="177"/>
      <c r="P46" s="129"/>
    </row>
    <row r="47" spans="2:16" hidden="1" x14ac:dyDescent="0.3">
      <c r="B47" s="132" t="s">
        <v>749</v>
      </c>
      <c r="C47" s="132">
        <v>40</v>
      </c>
      <c r="D47" s="132"/>
      <c r="E47" s="130"/>
      <c r="F47" s="130"/>
      <c r="G47" s="177"/>
      <c r="H47" s="177"/>
      <c r="I47" s="177"/>
      <c r="J47" s="184"/>
      <c r="K47" s="177"/>
      <c r="L47" s="177"/>
      <c r="M47" s="177"/>
      <c r="N47" s="177"/>
      <c r="O47" s="177"/>
      <c r="P47" s="129"/>
    </row>
    <row r="48" spans="2:16" hidden="1" x14ac:dyDescent="0.3">
      <c r="B48" s="132" t="s">
        <v>750</v>
      </c>
      <c r="C48" s="132">
        <v>0.1</v>
      </c>
      <c r="D48" s="132" t="s">
        <v>729</v>
      </c>
      <c r="E48" s="130"/>
      <c r="F48" s="130"/>
      <c r="G48" s="177"/>
      <c r="H48" s="177"/>
      <c r="I48" s="177"/>
      <c r="J48" s="184"/>
      <c r="K48" s="177"/>
      <c r="L48" s="177"/>
      <c r="M48" s="177"/>
      <c r="N48" s="177"/>
      <c r="O48" s="177"/>
      <c r="P48" s="129"/>
    </row>
    <row r="49" spans="2:16" hidden="1" x14ac:dyDescent="0.3">
      <c r="B49" s="132" t="s">
        <v>751</v>
      </c>
      <c r="C49" s="132">
        <f>C35*(C45*C47+C48)</f>
        <v>11527.199999999999</v>
      </c>
      <c r="D49" s="132" t="s">
        <v>729</v>
      </c>
      <c r="E49" s="130"/>
      <c r="F49" s="130"/>
      <c r="G49" s="129"/>
      <c r="H49" s="129"/>
      <c r="I49" s="129"/>
      <c r="J49" s="184"/>
      <c r="K49" s="177"/>
      <c r="L49" s="177"/>
      <c r="M49" s="177"/>
      <c r="N49" s="177"/>
      <c r="O49" s="177"/>
      <c r="P49" s="129"/>
    </row>
    <row r="50" spans="2:16" hidden="1" x14ac:dyDescent="0.3">
      <c r="B50" s="132" t="s">
        <v>752</v>
      </c>
      <c r="C50" s="132">
        <f>C44*C45*C47*C35/100</f>
        <v>4608</v>
      </c>
      <c r="D50" s="132" t="s">
        <v>753</v>
      </c>
      <c r="E50" s="130"/>
      <c r="F50" s="130"/>
      <c r="G50" s="129"/>
      <c r="H50" s="129"/>
      <c r="I50" s="129"/>
      <c r="J50" s="184"/>
      <c r="K50" s="177"/>
      <c r="L50" s="177"/>
      <c r="M50" s="177"/>
      <c r="N50" s="177"/>
      <c r="O50" s="177"/>
      <c r="P50" s="129"/>
    </row>
    <row r="51" spans="2:16" hidden="1" x14ac:dyDescent="0.3">
      <c r="B51" s="132" t="s">
        <v>754</v>
      </c>
      <c r="C51" s="132">
        <f>C50/H27*100</f>
        <v>22207.22891566265</v>
      </c>
      <c r="D51" s="132"/>
      <c r="E51" s="130"/>
      <c r="F51" s="130"/>
      <c r="G51" s="129"/>
      <c r="H51" s="129"/>
      <c r="I51" s="129"/>
      <c r="J51" s="184"/>
      <c r="K51" s="177"/>
      <c r="L51" s="177"/>
      <c r="M51" s="177"/>
      <c r="N51" s="177"/>
      <c r="O51" s="177"/>
      <c r="P51" s="129"/>
    </row>
  </sheetData>
  <mergeCells count="3">
    <mergeCell ref="B2:C2"/>
    <mergeCell ref="G5:I5"/>
    <mergeCell ref="Q5:S5"/>
  </mergeCells>
  <phoneticPr fontId="1" type="noConversion"/>
  <pageMargins left="0.7" right="0.7" top="0.75" bottom="0.75" header="0.3" footer="0.3"/>
  <pageSetup paperSize="9" orientation="portrait" horizontalDpi="4294967293" verticalDpi="4294967293" r:id="rId1"/>
  <drawing r:id="rId2"/>
  <legacyDrawing r:id="rId3"/>
  <oleObjects>
    <mc:AlternateContent xmlns:mc="http://schemas.openxmlformats.org/markup-compatibility/2006">
      <mc:Choice Requires="x14">
        <oleObject progId="StaticMetafile" shapeId="4097" r:id="rId4">
          <objectPr defaultSize="0" autoPict="0" r:id="rId5">
            <anchor moveWithCells="1">
              <from>
                <xdr:col>9</xdr:col>
                <xdr:colOff>19050</xdr:colOff>
                <xdr:row>4</xdr:row>
                <xdr:rowOff>19050</xdr:rowOff>
              </from>
              <to>
                <xdr:col>11</xdr:col>
                <xdr:colOff>619125</xdr:colOff>
                <xdr:row>12</xdr:row>
                <xdr:rowOff>95250</xdr:rowOff>
              </to>
            </anchor>
          </objectPr>
        </oleObject>
      </mc:Choice>
      <mc:Fallback>
        <oleObject progId="StaticMetafile" shapeId="4097" r:id="rId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10</vt:i4>
      </vt:variant>
    </vt:vector>
  </HeadingPairs>
  <TitlesOfParts>
    <vt:vector size="10" baseType="lpstr">
      <vt:lpstr>설계 결과표</vt:lpstr>
      <vt:lpstr>30kV 100mA_EE5555A</vt:lpstr>
      <vt:lpstr>센싱계산표</vt:lpstr>
      <vt:lpstr>Ferrite</vt:lpstr>
      <vt:lpstr>CS</vt:lpstr>
      <vt:lpstr>OR CORE</vt:lpstr>
      <vt:lpstr>입력정류부</vt:lpstr>
      <vt:lpstr>계산공식</vt:lpstr>
      <vt:lpstr>25XF-440V_기존 CS-200 예상</vt:lpstr>
      <vt:lpstr>IGBT 발열량 계산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XP</dc:creator>
  <cp:lastModifiedBy>sbcho</cp:lastModifiedBy>
  <dcterms:created xsi:type="dcterms:W3CDTF">2009-07-27T01:21:30Z</dcterms:created>
  <dcterms:modified xsi:type="dcterms:W3CDTF">2021-12-20T05:12:29Z</dcterms:modified>
</cp:coreProperties>
</file>